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tre\Desktop\Espace\"/>
    </mc:Choice>
  </mc:AlternateContent>
  <workbookProtection workbookAlgorithmName="SHA-512" workbookHashValue="8DEdUzBa81M+k6OxhSmJ7g1MRjeY2tGV5IvDB1fLEffG5mxHq6leAH6vyico0nNJGx8H6M98z8HQrjK4nzaFqQ==" workbookSaltValue="DRyV9FNNQWtChaARF/sENg==" workbookSpinCount="100000" lockStructure="1"/>
  <bookViews>
    <workbookView xWindow="-120" yWindow="-120" windowWidth="10920" windowHeight="6760"/>
  </bookViews>
  <sheets>
    <sheet name="E_P_B" sheetId="1" r:id="rId1"/>
    <sheet name="TABLE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7" i="1" l="1"/>
  <c r="E47" i="1" l="1"/>
  <c r="N18" i="2"/>
  <c r="H4" i="1" l="1"/>
  <c r="M2" i="2"/>
  <c r="A3" i="1"/>
  <c r="C2" i="2"/>
  <c r="E41" i="1" s="1"/>
  <c r="G36" i="1" l="1"/>
  <c r="B45" i="1"/>
  <c r="B41" i="1"/>
  <c r="B37" i="1"/>
  <c r="B33" i="1"/>
  <c r="G34" i="1"/>
  <c r="H3" i="2"/>
  <c r="B44" i="1"/>
  <c r="B40" i="1"/>
  <c r="B36" i="1"/>
  <c r="E35" i="1"/>
  <c r="E36" i="1"/>
  <c r="F34" i="1"/>
  <c r="B39" i="1"/>
  <c r="B35" i="1"/>
  <c r="E39" i="1"/>
  <c r="B38" i="1"/>
  <c r="G35" i="1"/>
  <c r="E33" i="1"/>
  <c r="B43" i="1"/>
  <c r="E29" i="1"/>
  <c r="E34" i="1"/>
  <c r="B42" i="1"/>
  <c r="B34" i="1"/>
  <c r="H34" i="1"/>
  <c r="H28" i="1"/>
  <c r="H29" i="1"/>
  <c r="E24" i="1"/>
  <c r="E28" i="1"/>
  <c r="E17" i="1"/>
  <c r="D15" i="2"/>
  <c r="E20" i="1"/>
  <c r="G2" i="2" l="1"/>
  <c r="B5" i="1"/>
  <c r="E2" i="2" l="1"/>
  <c r="F2" i="2" s="1"/>
  <c r="H4" i="2"/>
  <c r="H5" i="2" s="1"/>
  <c r="H6" i="2" s="1"/>
  <c r="M3" i="2"/>
  <c r="M4" i="2"/>
  <c r="M15" i="2" s="1"/>
  <c r="L12" i="2"/>
  <c r="L15" i="2" s="1"/>
  <c r="L17" i="2" s="1"/>
  <c r="M17" i="2" s="1"/>
  <c r="C5" i="2" l="1"/>
  <c r="B10" i="1" s="1"/>
  <c r="L16" i="2"/>
  <c r="M16" i="2" s="1"/>
  <c r="C10" i="1" l="1"/>
  <c r="J5" i="2"/>
  <c r="C4" i="2"/>
  <c r="C6" i="2"/>
  <c r="B12" i="1" s="1"/>
  <c r="B8" i="1" l="1"/>
  <c r="C3" i="2"/>
  <c r="U4" i="2"/>
  <c r="S4" i="2" s="1"/>
  <c r="T4" i="2" s="1"/>
  <c r="C9" i="1" s="1"/>
  <c r="J6" i="2"/>
  <c r="C12" i="1"/>
  <c r="C8" i="1"/>
  <c r="J4" i="2"/>
  <c r="H7" i="2"/>
  <c r="C7" i="2" s="1"/>
  <c r="B14" i="1" s="1"/>
  <c r="U6" i="2"/>
  <c r="S6" i="2" s="1"/>
  <c r="T6" i="2" s="1"/>
  <c r="U5" i="2"/>
  <c r="S5" i="2" s="1"/>
  <c r="C6" i="1" l="1"/>
  <c r="T5" i="2"/>
  <c r="C11" i="1" s="1"/>
  <c r="C13" i="1"/>
  <c r="C14" i="1"/>
  <c r="J3" i="2"/>
  <c r="B6" i="1"/>
  <c r="U3" i="2"/>
  <c r="S3" i="2" s="1"/>
  <c r="T3" i="2" s="1"/>
  <c r="C7" i="1" s="1"/>
  <c r="U7" i="2"/>
  <c r="S7" i="2" s="1"/>
  <c r="T7" i="2" s="1"/>
  <c r="J7" i="2"/>
  <c r="H8" i="2"/>
  <c r="H9" i="2" s="1"/>
  <c r="H10" i="2" s="1"/>
  <c r="C15" i="1" l="1"/>
  <c r="C9" i="2"/>
  <c r="B18" i="1" s="1"/>
  <c r="C8" i="2"/>
  <c r="C10" i="2"/>
  <c r="B20" i="1" s="1"/>
  <c r="H11" i="2"/>
  <c r="H12" i="2" s="1"/>
  <c r="U8" i="2" l="1"/>
  <c r="B16" i="1"/>
  <c r="U9" i="2"/>
  <c r="J9" i="2"/>
  <c r="C16" i="1"/>
  <c r="C20" i="1"/>
  <c r="J8" i="2"/>
  <c r="C18" i="1"/>
  <c r="U10" i="2"/>
  <c r="S10" i="2" s="1"/>
  <c r="T10" i="2" s="1"/>
  <c r="J10" i="2"/>
  <c r="C11" i="2"/>
  <c r="B22" i="1" s="1"/>
  <c r="S9" i="2" l="1"/>
  <c r="T9" i="2" s="1"/>
  <c r="C19" i="1" s="1"/>
  <c r="S8" i="2"/>
  <c r="C21" i="1"/>
  <c r="J11" i="2"/>
  <c r="C22" i="1"/>
  <c r="U11" i="2"/>
  <c r="C12" i="2"/>
  <c r="H13" i="2"/>
  <c r="H14" i="2" s="1"/>
  <c r="T8" i="2" l="1"/>
  <c r="C17" i="1" s="1"/>
  <c r="S11" i="2"/>
  <c r="B24" i="1"/>
  <c r="C24" i="1"/>
  <c r="U12" i="2"/>
  <c r="S12" i="2" s="1"/>
  <c r="T12" i="2" s="1"/>
  <c r="J12" i="2"/>
  <c r="C13" i="2"/>
  <c r="T11" i="2" l="1"/>
  <c r="C23" i="1" s="1"/>
  <c r="B26" i="1"/>
  <c r="C25" i="1"/>
  <c r="J13" i="2"/>
  <c r="C26" i="1"/>
  <c r="U13" i="2"/>
  <c r="S13" i="2" l="1"/>
  <c r="T13" i="2" l="1"/>
  <c r="C27" i="1" s="1"/>
  <c r="C14" i="2"/>
  <c r="F17" i="2" l="1"/>
  <c r="G15" i="2" s="1"/>
  <c r="F15" i="2" s="1"/>
  <c r="C28" i="1"/>
  <c r="B28" i="1"/>
  <c r="E10" i="1"/>
  <c r="C15" i="2"/>
  <c r="C16" i="2" s="1"/>
  <c r="D16" i="2" s="1"/>
  <c r="E15" i="2"/>
  <c r="J14" i="2"/>
  <c r="U14" i="2"/>
  <c r="S14" i="2" l="1"/>
  <c r="J15" i="2"/>
  <c r="T14" i="2" l="1"/>
  <c r="C29" i="1" s="1"/>
  <c r="F16" i="2"/>
  <c r="E14" i="1" s="1"/>
  <c r="F18" i="2" l="1"/>
  <c r="C17" i="2" s="1"/>
  <c r="G16" i="2"/>
  <c r="G18" i="2" l="1"/>
  <c r="G19" i="2" s="1"/>
  <c r="F19" i="2" s="1"/>
  <c r="E6" i="1" s="1"/>
</calcChain>
</file>

<file path=xl/comments1.xml><?xml version="1.0" encoding="utf-8"?>
<comments xmlns="http://schemas.openxmlformats.org/spreadsheetml/2006/main">
  <authors>
    <author>Astre</author>
  </authors>
  <commentList>
    <comment ref="E5" authorId="0" shapeId="0">
      <text>
        <r>
          <rPr>
            <sz val="11"/>
            <color indexed="81"/>
            <rFont val="Times New Roman"/>
            <family val="1"/>
          </rPr>
          <t xml:space="preserve">
🔻 La description et le rapport du projet se façonnent plus bas. 🔻</t>
        </r>
      </text>
    </comment>
  </commentList>
</comments>
</file>

<file path=xl/sharedStrings.xml><?xml version="1.0" encoding="utf-8"?>
<sst xmlns="http://schemas.openxmlformats.org/spreadsheetml/2006/main" count="81" uniqueCount="73">
  <si>
    <t>ESTIMATION    |    PROCESS</t>
  </si>
  <si>
    <t>Budget</t>
  </si>
  <si>
    <t>Fondation</t>
  </si>
  <si>
    <t>Elevation et chainage haut</t>
  </si>
  <si>
    <t>Charpente et couverture</t>
  </si>
  <si>
    <t>Taux de dépense Matériaux</t>
  </si>
  <si>
    <t>Taux de dépense M_O</t>
  </si>
  <si>
    <t>Eclairage</t>
  </si>
  <si>
    <t>Equipement sanitaire</t>
  </si>
  <si>
    <t>Portes et fenêtres</t>
  </si>
  <si>
    <t>Crépissage</t>
  </si>
  <si>
    <t>Travaux supplémentaires [Externe]</t>
  </si>
  <si>
    <t>Forageavec pompe électrique</t>
  </si>
  <si>
    <t>Total sans pompe</t>
  </si>
  <si>
    <t>Pour 50m² de construction</t>
  </si>
  <si>
    <t>Total</t>
  </si>
  <si>
    <t>Marge d'erreur</t>
  </si>
  <si>
    <t>Qualité simple</t>
  </si>
  <si>
    <t>Qualité moyenne</t>
  </si>
  <si>
    <t>INFORMATIONS</t>
  </si>
  <si>
    <t>N°</t>
  </si>
  <si>
    <t>SURFACE</t>
  </si>
  <si>
    <t>QUALITE SIMPLE</t>
  </si>
  <si>
    <t>QUALITE MOYENNE</t>
  </si>
  <si>
    <t>QUALITE HAUTE CLASSE</t>
  </si>
  <si>
    <t>Qualité haute classe</t>
  </si>
  <si>
    <t>PERIMETRE</t>
  </si>
  <si>
    <t>« DETAILS            |            RAPPORT »</t>
  </si>
  <si>
    <t xml:space="preserve">Second œuvre </t>
  </si>
  <si>
    <t>Sejour</t>
  </si>
  <si>
    <t>Salon V.I.P</t>
  </si>
  <si>
    <t>Salon</t>
  </si>
  <si>
    <t>Chambre patron</t>
  </si>
  <si>
    <t>Chambre enfants</t>
  </si>
  <si>
    <t>Chambre invités</t>
  </si>
  <si>
    <t xml:space="preserve">Chambre </t>
  </si>
  <si>
    <t>Cuisine</t>
  </si>
  <si>
    <t>Cuisine moderne</t>
  </si>
  <si>
    <t>Cuisine américaine</t>
  </si>
  <si>
    <t>S.E</t>
  </si>
  <si>
    <t>Douche</t>
  </si>
  <si>
    <t>W.C</t>
  </si>
  <si>
    <t>W.C + Douche</t>
  </si>
  <si>
    <t>Magasin</t>
  </si>
  <si>
    <t>Bureau</t>
  </si>
  <si>
    <t>Salle de jeux</t>
  </si>
  <si>
    <t>Terrasse</t>
  </si>
  <si>
    <t>Pièce</t>
  </si>
  <si>
    <t>DEDUCTION DE SURFACES</t>
  </si>
  <si>
    <t>Chambre</t>
  </si>
  <si>
    <t>Douche + WC</t>
  </si>
  <si>
    <t>Chambre Patron</t>
  </si>
  <si>
    <t>Chambre invité</t>
  </si>
  <si>
    <t>Surface restante</t>
  </si>
  <si>
    <t>Garage</t>
  </si>
  <si>
    <t>L</t>
  </si>
  <si>
    <t>l</t>
  </si>
  <si>
    <t>P</t>
  </si>
  <si>
    <t xml:space="preserve">INTERVENANTS </t>
  </si>
  <si>
    <t>CADENCE DES TRAVAUX &amp; DUREE</t>
  </si>
  <si>
    <t>⛔ ⛔ ⛔ Cette estimation par budget est somaire, car elle définit les grandes lignes d'un projet.                                                            🔘  Pour un meilleur suivi, veillez demander les conseils d'un expert.</t>
  </si>
  <si>
    <t>Gros œuvre 🔴🔘🔸🔶🔹🔷🔺🔻🔲⛔🏠🏡🏚️</t>
  </si>
  <si>
    <t>🔘 En évaluant votre budget, la répartition des travaux se fait par corps d'état (étapes de travail) de la manière suivante :</t>
  </si>
  <si>
    <t xml:space="preserve">Le style de construction est simple par conséquent, le processus de réalisation est jusqu'aux finitions sans design particulier. </t>
  </si>
  <si>
    <t>Formule pour allier le prix à la dimension de la construction  »»</t>
  </si>
  <si>
    <t>Nettoyage et terrassement</t>
  </si>
  <si>
    <t>[Carrelage]</t>
  </si>
  <si>
    <t>Plafond/Staff</t>
  </si>
  <si>
    <t>Surface du RDC</t>
  </si>
  <si>
    <t>Dépense de la dalle</t>
  </si>
  <si>
    <t>Dépense de la 2ème dalle</t>
  </si>
  <si>
    <t>axescrone@gmail.com</t>
  </si>
  <si>
    <t>L'unité des distances est le mètre (m) et l'unité des surfaces est en mètre carré (m²).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</si>
</sst>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* #,##0\ &quot;FCFA&quot;_-;\-* #,##0\ &quot;FCFA&quot;_-;_-* &quot;-&quot;\ &quot;FCFA&quot;_-;_-@_-"/>
    <numFmt numFmtId="164" formatCode="0.000"/>
    <numFmt numFmtId="165" formatCode="#,##0;[Red]#,##0"/>
  </numFmts>
  <fonts count="3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26"/>
      <color theme="0"/>
      <name val="Times New Roman"/>
      <family val="1"/>
    </font>
    <font>
      <b/>
      <sz val="12"/>
      <color theme="2" tint="-0.749992370372631"/>
      <name val="Times New Roman"/>
      <family val="1"/>
    </font>
    <font>
      <sz val="12"/>
      <color theme="4" tint="-0.499984740745262"/>
      <name val="Times New Roman"/>
      <family val="1"/>
    </font>
    <font>
      <b/>
      <sz val="12"/>
      <color theme="0"/>
      <name val="Times New Roman"/>
      <family val="1"/>
    </font>
    <font>
      <b/>
      <sz val="12"/>
      <color theme="5" tint="-0.499984740745262"/>
      <name val="Times New Roman"/>
      <family val="1"/>
    </font>
    <font>
      <b/>
      <sz val="10"/>
      <color theme="4" tint="-0.499984740745262"/>
      <name val="Times New Roman"/>
      <family val="1"/>
    </font>
    <font>
      <b/>
      <sz val="10"/>
      <color theme="5" tint="-0.249977111117893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theme="5" tint="-0.249977111117893"/>
      <name val="Times New Roman"/>
      <family val="1"/>
    </font>
    <font>
      <b/>
      <sz val="9"/>
      <color theme="4" tint="-0.499984740745262"/>
      <name val="Times New Roman"/>
      <family val="1"/>
    </font>
    <font>
      <sz val="12"/>
      <name val="Times New Roman"/>
      <family val="1"/>
    </font>
    <font>
      <sz val="12"/>
      <color theme="5" tint="-0.499984740745262"/>
      <name val="Times New Roman"/>
      <family val="1"/>
    </font>
    <font>
      <sz val="12"/>
      <color rgb="FFFF0000"/>
      <name val="Times New Roman"/>
      <family val="1"/>
    </font>
    <font>
      <sz val="12"/>
      <color theme="8" tint="-0.249977111117893"/>
      <name val="Times New Roman"/>
      <family val="1"/>
    </font>
    <font>
      <b/>
      <sz val="12"/>
      <color rgb="FF0070C0"/>
      <name val="Times New Roman"/>
      <family val="1"/>
    </font>
    <font>
      <b/>
      <sz val="12"/>
      <name val="Times New Roman"/>
      <family val="1"/>
    </font>
    <font>
      <b/>
      <sz val="12"/>
      <color theme="5" tint="-0.249977111117893"/>
      <name val="Times New Roman"/>
      <family val="1"/>
    </font>
    <font>
      <b/>
      <sz val="11.5"/>
      <color theme="1"/>
      <name val="Times New Roman"/>
      <family val="1"/>
    </font>
    <font>
      <b/>
      <sz val="11.5"/>
      <color theme="8" tint="-0.249977111117893"/>
      <name val="Times New Roman"/>
      <family val="1"/>
    </font>
    <font>
      <sz val="12"/>
      <color rgb="FF00B050"/>
      <name val="Times New Roman"/>
      <family val="1"/>
    </font>
    <font>
      <sz val="11"/>
      <color indexed="81"/>
      <name val="Times New Roman"/>
      <family val="1"/>
    </font>
    <font>
      <u/>
      <sz val="11"/>
      <color theme="10"/>
      <name val="Calibri"/>
      <family val="2"/>
      <scheme val="minor"/>
    </font>
    <font>
      <b/>
      <sz val="12"/>
      <color theme="4" tint="-0.249977111117893"/>
      <name val="Times New Roman"/>
      <family val="1"/>
    </font>
    <font>
      <b/>
      <sz val="12"/>
      <color rgb="FFC00000"/>
      <name val="Times New Roman"/>
      <family val="1"/>
    </font>
    <font>
      <b/>
      <sz val="11"/>
      <color theme="0"/>
      <name val="Times New Roman"/>
      <family val="1"/>
    </font>
    <font>
      <b/>
      <u/>
      <sz val="12"/>
      <color theme="0"/>
      <name val="Times New Roman"/>
      <family val="1"/>
    </font>
    <font>
      <b/>
      <sz val="12"/>
      <color theme="4" tint="0.79998168889431442"/>
      <name val="Times New Roman"/>
      <family val="1"/>
    </font>
    <font>
      <b/>
      <sz val="24"/>
      <color theme="4" tint="0.79998168889431442"/>
      <name val="Times New Roman"/>
      <family val="1"/>
    </font>
    <font>
      <b/>
      <sz val="16"/>
      <color theme="4" tint="0.79998168889431442"/>
      <name val="Times New Roman"/>
      <family val="1"/>
    </font>
    <font>
      <b/>
      <sz val="18"/>
      <color theme="4" tint="0.79998168889431442"/>
      <name val="Times New Roman"/>
      <family val="1"/>
    </font>
    <font>
      <b/>
      <sz val="12"/>
      <color theme="2" tint="-9.9978637043366805E-2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8" tint="-0.499984740745262"/>
      </left>
      <right/>
      <top style="thin">
        <color theme="8" tint="-0.499984740745262"/>
      </top>
      <bottom style="thin">
        <color theme="8" tint="-0.499984740745262"/>
      </bottom>
      <diagonal/>
    </border>
    <border>
      <left/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/>
      <diagonal/>
    </border>
    <border>
      <left style="thin">
        <color theme="8" tint="-0.499984740745262"/>
      </left>
      <right style="thin">
        <color theme="8" tint="-0.499984740745262"/>
      </right>
      <top/>
      <bottom/>
      <diagonal/>
    </border>
    <border>
      <left style="thin">
        <color theme="8" tint="-0.499984740745262"/>
      </left>
      <right style="thin">
        <color theme="8" tint="-0.499984740745262"/>
      </right>
      <top/>
      <bottom style="thin">
        <color theme="8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8" tint="-0.499984740745262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8" tint="-0.499984740745262"/>
      </left>
      <right/>
      <top style="thin">
        <color theme="8" tint="-0.499984740745262"/>
      </top>
      <bottom/>
      <diagonal/>
    </border>
    <border>
      <left/>
      <right/>
      <top style="thin">
        <color theme="8" tint="-0.499984740745262"/>
      </top>
      <bottom/>
      <diagonal/>
    </border>
    <border>
      <left/>
      <right style="thin">
        <color auto="1"/>
      </right>
      <top style="thin">
        <color theme="8" tint="-0.499984740745262"/>
      </top>
      <bottom/>
      <diagonal/>
    </border>
  </borders>
  <cellStyleXfs count="3">
    <xf numFmtId="0" fontId="0" fillId="0" borderId="0"/>
    <xf numFmtId="42" fontId="10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17">
    <xf numFmtId="0" fontId="0" fillId="0" borderId="0" xfId="0"/>
    <xf numFmtId="0" fontId="2" fillId="0" borderId="0" xfId="0" applyFont="1" applyAlignment="1">
      <alignment horizontal="left" vertical="top" wrapText="1"/>
    </xf>
    <xf numFmtId="1" fontId="2" fillId="0" borderId="0" xfId="0" applyNumberFormat="1" applyFont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1" fontId="2" fillId="0" borderId="0" xfId="0" applyNumberFormat="1" applyFont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9" borderId="0" xfId="0" applyFont="1" applyFill="1" applyAlignment="1">
      <alignment horizontal="left" vertical="top" wrapText="1"/>
    </xf>
    <xf numFmtId="0" fontId="2" fillId="10" borderId="0" xfId="0" applyFont="1" applyFill="1" applyAlignment="1">
      <alignment horizontal="left" vertical="top" wrapText="1"/>
    </xf>
    <xf numFmtId="0" fontId="2" fillId="11" borderId="0" xfId="0" applyFont="1" applyFill="1" applyAlignment="1">
      <alignment horizontal="left" vertical="top" wrapText="1"/>
    </xf>
    <xf numFmtId="0" fontId="2" fillId="12" borderId="0" xfId="0" applyFont="1" applyFill="1" applyAlignment="1">
      <alignment horizontal="left" vertical="top" wrapText="1"/>
    </xf>
    <xf numFmtId="0" fontId="2" fillId="6" borderId="0" xfId="0" applyFont="1" applyFill="1" applyAlignment="1">
      <alignment horizontal="left" vertical="top" wrapText="1"/>
    </xf>
    <xf numFmtId="0" fontId="2" fillId="13" borderId="0" xfId="0" applyFont="1" applyFill="1" applyAlignment="1">
      <alignment horizontal="left" vertical="top" wrapText="1"/>
    </xf>
    <xf numFmtId="0" fontId="2" fillId="7" borderId="0" xfId="0" applyFont="1" applyFill="1" applyAlignment="1">
      <alignment horizontal="left" vertical="top" wrapText="1"/>
    </xf>
    <xf numFmtId="0" fontId="2" fillId="14" borderId="0" xfId="0" applyFont="1" applyFill="1" applyAlignment="1">
      <alignment horizontal="left" vertical="top" wrapText="1"/>
    </xf>
    <xf numFmtId="0" fontId="2" fillId="15" borderId="0" xfId="0" applyFont="1" applyFill="1" applyAlignment="1">
      <alignment horizontal="left" vertical="top" wrapText="1"/>
    </xf>
    <xf numFmtId="0" fontId="2" fillId="16" borderId="0" xfId="0" applyFont="1" applyFill="1" applyAlignment="1">
      <alignment horizontal="left" vertical="top" wrapText="1"/>
    </xf>
    <xf numFmtId="0" fontId="2" fillId="17" borderId="0" xfId="0" applyFont="1" applyFill="1" applyAlignment="1">
      <alignment horizontal="left" vertical="top" wrapText="1"/>
    </xf>
    <xf numFmtId="0" fontId="2" fillId="18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2" fillId="19" borderId="0" xfId="0" applyFont="1" applyFill="1" applyAlignment="1">
      <alignment horizontal="left" vertical="top" wrapText="1"/>
    </xf>
    <xf numFmtId="0" fontId="2" fillId="20" borderId="0" xfId="0" applyFont="1" applyFill="1" applyAlignment="1">
      <alignment horizontal="left" vertical="top" wrapText="1"/>
    </xf>
    <xf numFmtId="1" fontId="2" fillId="2" borderId="0" xfId="0" applyNumberFormat="1" applyFont="1" applyFill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9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3" fontId="13" fillId="0" borderId="0" xfId="0" applyNumberFormat="1" applyFont="1" applyAlignment="1">
      <alignment horizontal="left" vertical="top" wrapText="1"/>
    </xf>
    <xf numFmtId="165" fontId="17" fillId="0" borderId="8" xfId="1" applyNumberFormat="1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22" borderId="17" xfId="0" applyFont="1" applyFill="1" applyBorder="1" applyAlignment="1">
      <alignment vertical="center" wrapText="1"/>
    </xf>
    <xf numFmtId="14" fontId="1" fillId="0" borderId="0" xfId="0" applyNumberFormat="1" applyFont="1" applyAlignment="1">
      <alignment horizontal="right" vertical="top" wrapText="1"/>
    </xf>
    <xf numFmtId="3" fontId="5" fillId="0" borderId="15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27" fillId="8" borderId="2" xfId="0" applyFont="1" applyFill="1" applyBorder="1" applyAlignment="1">
      <alignment vertical="center"/>
    </xf>
    <xf numFmtId="0" fontId="6" fillId="21" borderId="6" xfId="0" applyFont="1" applyFill="1" applyBorder="1" applyAlignment="1">
      <alignment horizontal="center" vertical="center" wrapText="1"/>
    </xf>
    <xf numFmtId="0" fontId="6" fillId="21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1" fontId="6" fillId="0" borderId="0" xfId="0" applyNumberFormat="1" applyFont="1" applyAlignment="1">
      <alignment horizontal="left" vertical="top" wrapText="1"/>
    </xf>
    <xf numFmtId="164" fontId="6" fillId="0" borderId="0" xfId="0" applyNumberFormat="1" applyFont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3" fontId="6" fillId="0" borderId="0" xfId="1" applyNumberFormat="1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3" fontId="6" fillId="0" borderId="0" xfId="0" applyNumberFormat="1" applyFont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29" fillId="6" borderId="2" xfId="0" applyFont="1" applyFill="1" applyBorder="1" applyAlignment="1">
      <alignment horizontal="center" vertical="center" wrapText="1"/>
    </xf>
    <xf numFmtId="0" fontId="29" fillId="6" borderId="2" xfId="0" applyFont="1" applyFill="1" applyBorder="1" applyAlignment="1">
      <alignment horizontal="left" vertical="top" wrapText="1"/>
    </xf>
    <xf numFmtId="0" fontId="30" fillId="6" borderId="2" xfId="0" applyFont="1" applyFill="1" applyBorder="1" applyAlignment="1">
      <alignment horizontal="center" vertical="center" wrapText="1"/>
    </xf>
    <xf numFmtId="1" fontId="29" fillId="6" borderId="2" xfId="0" applyNumberFormat="1" applyFont="1" applyFill="1" applyBorder="1" applyAlignment="1">
      <alignment horizontal="left" vertical="top" wrapText="1"/>
    </xf>
    <xf numFmtId="0" fontId="31" fillId="6" borderId="2" xfId="0" applyFont="1" applyFill="1" applyBorder="1" applyAlignment="1">
      <alignment horizontal="center" vertical="center" wrapText="1"/>
    </xf>
    <xf numFmtId="0" fontId="32" fillId="6" borderId="2" xfId="0" applyFont="1" applyFill="1" applyBorder="1" applyAlignment="1">
      <alignment horizontal="center" vertical="center" wrapText="1"/>
    </xf>
    <xf numFmtId="0" fontId="33" fillId="4" borderId="2" xfId="0" applyFont="1" applyFill="1" applyBorder="1" applyAlignment="1">
      <alignment horizontal="center" vertical="center" wrapText="1"/>
    </xf>
    <xf numFmtId="1" fontId="33" fillId="4" borderId="2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1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1" fontId="2" fillId="0" borderId="9" xfId="0" applyNumberFormat="1" applyFont="1" applyBorder="1" applyAlignment="1">
      <alignment horizontal="center" vertical="top" wrapText="1"/>
    </xf>
    <xf numFmtId="1" fontId="2" fillId="0" borderId="10" xfId="0" applyNumberFormat="1" applyFont="1" applyBorder="1" applyAlignment="1">
      <alignment horizontal="center" vertical="top" wrapText="1"/>
    </xf>
    <xf numFmtId="1" fontId="2" fillId="0" borderId="11" xfId="0" applyNumberFormat="1" applyFont="1" applyBorder="1" applyAlignment="1">
      <alignment horizontal="center" vertical="top" wrapText="1"/>
    </xf>
    <xf numFmtId="0" fontId="21" fillId="0" borderId="21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3" fontId="18" fillId="0" borderId="8" xfId="0" applyNumberFormat="1" applyFont="1" applyBorder="1" applyAlignment="1">
      <alignment horizontal="left" vertical="top"/>
    </xf>
    <xf numFmtId="0" fontId="22" fillId="0" borderId="19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2" fillId="0" borderId="14" xfId="0" applyFont="1" applyBorder="1" applyAlignment="1">
      <alignment horizontal="left" vertical="top" wrapText="1"/>
    </xf>
    <xf numFmtId="0" fontId="6" fillId="22" borderId="13" xfId="0" applyFont="1" applyFill="1" applyBorder="1" applyAlignment="1">
      <alignment horizontal="center" vertical="center" wrapText="1"/>
    </xf>
    <xf numFmtId="0" fontId="6" fillId="22" borderId="17" xfId="0" applyFont="1" applyFill="1" applyBorder="1" applyAlignment="1">
      <alignment horizontal="center" vertical="center" wrapText="1"/>
    </xf>
    <xf numFmtId="0" fontId="6" fillId="22" borderId="18" xfId="0" applyFont="1" applyFill="1" applyBorder="1" applyAlignment="1">
      <alignment horizontal="center" vertical="center" wrapText="1"/>
    </xf>
    <xf numFmtId="3" fontId="13" fillId="0" borderId="19" xfId="0" applyNumberFormat="1" applyFont="1" applyBorder="1" applyAlignment="1">
      <alignment horizontal="left" vertical="top" wrapText="1"/>
    </xf>
    <xf numFmtId="3" fontId="13" fillId="0" borderId="0" xfId="0" applyNumberFormat="1" applyFont="1" applyBorder="1" applyAlignment="1">
      <alignment horizontal="left" vertical="top" wrapText="1"/>
    </xf>
    <xf numFmtId="3" fontId="13" fillId="0" borderId="14" xfId="0" applyNumberFormat="1" applyFont="1" applyBorder="1" applyAlignment="1">
      <alignment horizontal="left" vertical="top" wrapText="1"/>
    </xf>
    <xf numFmtId="0" fontId="24" fillId="6" borderId="0" xfId="2" applyFill="1" applyAlignment="1" applyProtection="1">
      <alignment horizontal="center" vertical="top" wrapText="1"/>
      <protection locked="0"/>
    </xf>
    <xf numFmtId="3" fontId="24" fillId="6" borderId="0" xfId="2" applyNumberFormat="1" applyFill="1" applyAlignment="1" applyProtection="1">
      <alignment horizontal="center" vertical="top" wrapText="1"/>
      <protection locked="0"/>
    </xf>
    <xf numFmtId="0" fontId="24" fillId="0" borderId="0" xfId="2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" fillId="24" borderId="0" xfId="0" applyFont="1" applyFill="1" applyAlignment="1">
      <alignment horizontal="center" vertical="top" wrapText="1"/>
    </xf>
    <xf numFmtId="0" fontId="1" fillId="2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</cellXfs>
  <cellStyles count="3">
    <cellStyle name="Lien hypertexte" xfId="2" builtinId="8"/>
    <cellStyle name="Monétaire [0]" xfId="1" builtinId="7"/>
    <cellStyle name="Normal" xfId="0" builtinId="0"/>
  </cellStyles>
  <dxfs count="0"/>
  <tableStyles count="0" defaultTableStyle="TableStyleMedium2" defaultPivotStyle="PivotStyleLight16"/>
  <colors>
    <mruColors>
      <color rgb="FF8E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89958</xdr:colOff>
      <xdr:row>0</xdr:row>
      <xdr:rowOff>216958</xdr:rowOff>
    </xdr:from>
    <xdr:to>
      <xdr:col>10</xdr:col>
      <xdr:colOff>42334</xdr:colOff>
      <xdr:row>2</xdr:row>
      <xdr:rowOff>95250</xdr:rowOff>
    </xdr:to>
    <xdr:sp macro="" textlink="">
      <xdr:nvSpPr>
        <xdr:cNvPr id="2" name="Flèche droite rayée 1"/>
        <xdr:cNvSpPr/>
      </xdr:nvSpPr>
      <xdr:spPr>
        <a:xfrm rot="10800000">
          <a:off x="6932083" y="216958"/>
          <a:ext cx="391584" cy="386292"/>
        </a:xfrm>
        <a:prstGeom prst="stripedRightArrow">
          <a:avLst/>
        </a:prstGeom>
        <a:solidFill>
          <a:schemeClr val="accent5">
            <a:lumMod val="75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111125</xdr:colOff>
      <xdr:row>0</xdr:row>
      <xdr:rowOff>47625</xdr:rowOff>
    </xdr:from>
    <xdr:to>
      <xdr:col>12</xdr:col>
      <xdr:colOff>349250</xdr:colOff>
      <xdr:row>3</xdr:row>
      <xdr:rowOff>47624</xdr:rowOff>
    </xdr:to>
    <xdr:sp macro="" textlink="">
      <xdr:nvSpPr>
        <xdr:cNvPr id="3" name="Rectangle à coins arrondis 2"/>
        <xdr:cNvSpPr/>
      </xdr:nvSpPr>
      <xdr:spPr>
        <a:xfrm>
          <a:off x="7392458" y="47625"/>
          <a:ext cx="1232959" cy="703791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153459</xdr:colOff>
      <xdr:row>0</xdr:row>
      <xdr:rowOff>100542</xdr:rowOff>
    </xdr:from>
    <xdr:to>
      <xdr:col>12</xdr:col>
      <xdr:colOff>317500</xdr:colOff>
      <xdr:row>2</xdr:row>
      <xdr:rowOff>164042</xdr:rowOff>
    </xdr:to>
    <xdr:sp macro="" textlink="">
      <xdr:nvSpPr>
        <xdr:cNvPr id="4" name="ZoneTexte 3"/>
        <xdr:cNvSpPr txBox="1"/>
      </xdr:nvSpPr>
      <xdr:spPr>
        <a:xfrm>
          <a:off x="7434792" y="100542"/>
          <a:ext cx="1158875" cy="5715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>
              <a:latin typeface="Bodoni MT Condensed" panose="02070606080606020203" pitchFamily="18" charset="0"/>
            </a:rPr>
            <a:t>Veuillez</a:t>
          </a:r>
          <a:r>
            <a:rPr lang="en-US" sz="1400" baseline="0">
              <a:latin typeface="Bodoni MT Condensed" panose="02070606080606020203" pitchFamily="18" charset="0"/>
            </a:rPr>
            <a:t> entrer votre budget</a:t>
          </a:r>
          <a:endParaRPr lang="en-US" sz="1400">
            <a:latin typeface="Bodoni MT Condensed" panose="02070606080606020203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xescrone@gmail.com" TargetMode="External"/><Relationship Id="rId1" Type="http://schemas.openxmlformats.org/officeDocument/2006/relationships/hyperlink" Target="axescrone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60"/>
  <sheetViews>
    <sheetView tabSelected="1" zoomScale="93" zoomScaleNormal="93" workbookViewId="0">
      <selection activeCell="H16" sqref="H16"/>
    </sheetView>
  </sheetViews>
  <sheetFormatPr baseColWidth="10" defaultColWidth="11.36328125" defaultRowHeight="15.5" x14ac:dyDescent="0.35"/>
  <cols>
    <col min="1" max="1" width="1.54296875" style="1" customWidth="1"/>
    <col min="2" max="2" width="18.08984375" style="1" customWidth="1"/>
    <col min="3" max="3" width="17.36328125" style="1" customWidth="1"/>
    <col min="4" max="4" width="1.08984375" style="2" customWidth="1"/>
    <col min="5" max="5" width="12.7265625" style="1" customWidth="1"/>
    <col min="6" max="7" width="12.6328125" style="1" customWidth="1"/>
    <col min="8" max="8" width="22.1796875" style="1" customWidth="1"/>
    <col min="9" max="9" width="1.08984375" style="1" customWidth="1"/>
    <col min="10" max="10" width="6.26953125" style="1" customWidth="1"/>
    <col min="11" max="11" width="6.36328125" style="2" customWidth="1"/>
    <col min="12" max="12" width="7.90625" style="1" customWidth="1"/>
    <col min="13" max="13" width="11.6328125" style="2" customWidth="1"/>
    <col min="14" max="14" width="14.7265625" style="1" customWidth="1"/>
    <col min="15" max="15" width="12.26953125" style="1" bestFit="1" customWidth="1"/>
    <col min="16" max="16384" width="11.36328125" style="1"/>
  </cols>
  <sheetData>
    <row r="1" spans="1:14" ht="23.5" customHeight="1" thickBot="1" x14ac:dyDescent="0.35">
      <c r="A1" s="20"/>
      <c r="B1" s="76" t="s">
        <v>0</v>
      </c>
      <c r="C1" s="76"/>
      <c r="D1" s="76"/>
      <c r="E1" s="76"/>
      <c r="F1" s="76"/>
      <c r="G1" s="76"/>
      <c r="H1" s="6" t="s">
        <v>1</v>
      </c>
      <c r="I1" s="5"/>
      <c r="K1" s="1"/>
      <c r="M1" s="1"/>
    </row>
    <row r="2" spans="1:14" ht="16" thickTop="1" x14ac:dyDescent="0.35">
      <c r="A2" s="20"/>
      <c r="B2" s="76"/>
      <c r="C2" s="76"/>
      <c r="D2" s="76"/>
      <c r="E2" s="76"/>
      <c r="F2" s="76"/>
      <c r="G2" s="76"/>
      <c r="H2" s="39">
        <v>45000000</v>
      </c>
      <c r="I2" s="68"/>
      <c r="K2" s="1"/>
      <c r="M2" s="1"/>
    </row>
    <row r="3" spans="1:14" ht="15.5" customHeight="1" x14ac:dyDescent="0.35">
      <c r="A3" s="77" t="str">
        <f>IF(H2&lt;890000,"😕 Désolé votre budget n'est pas réaliste.",IF(H2&gt;=40000001,"⛔ Vôtre budget est une somme conséquente, contacter un particulier pour une meilleure prise en charge.",IF(H2&lt;=900000,"💲C'est un bon départ encore un effort, vous y êtes presque. 💰",TABLE!B2)))</f>
        <v>⛔ Vôtre budget est une somme conséquente, contacter un particulier pour une meilleure prise en charge.</v>
      </c>
      <c r="B3" s="78"/>
      <c r="C3" s="78"/>
      <c r="D3" s="78"/>
      <c r="E3" s="78"/>
      <c r="F3" s="78"/>
      <c r="G3" s="78"/>
      <c r="H3" s="79"/>
      <c r="I3" s="69"/>
      <c r="K3" s="1"/>
      <c r="M3" s="1"/>
    </row>
    <row r="4" spans="1:14" x14ac:dyDescent="0.35">
      <c r="A4" s="29"/>
      <c r="B4" s="22"/>
      <c r="C4" s="8"/>
      <c r="D4" s="8"/>
      <c r="E4" s="8"/>
      <c r="F4" s="7"/>
      <c r="G4" s="7"/>
      <c r="H4" s="38">
        <f ca="1">+NOW()</f>
        <v>45707.198609027779</v>
      </c>
      <c r="I4" s="70"/>
      <c r="K4" s="1"/>
      <c r="M4" s="1"/>
    </row>
    <row r="5" spans="1:14" ht="20.5" customHeight="1" x14ac:dyDescent="0.35">
      <c r="A5" s="20"/>
      <c r="B5" s="73" t="str">
        <f>CONCATENATE("[ DESCRIPTION]")</f>
        <v>[ DESCRIPTION]</v>
      </c>
      <c r="C5" s="74"/>
      <c r="D5" s="89"/>
      <c r="E5" s="72" t="s">
        <v>27</v>
      </c>
      <c r="F5" s="72"/>
      <c r="G5" s="72"/>
      <c r="H5" s="72"/>
      <c r="I5" s="70"/>
      <c r="K5" s="1"/>
      <c r="M5" s="1"/>
    </row>
    <row r="6" spans="1:14" ht="19" customHeight="1" x14ac:dyDescent="0.35">
      <c r="A6" s="14"/>
      <c r="B6" s="75" t="str">
        <f>IF(ROUNDUP(TABLE!C3,0)=0,"",(IF(ROUNDUP(TABLE!C3,0)&gt;=8,"Chambre",(IF(ROUNDUP(TABLE!C3,0)&gt;=12,"",(IF(ROUNDUP(TABLE!C3,0)&gt;=9,"",(IF(ROUNDUP(TABLE!C3,0)&lt;=3,"")))))))))</f>
        <v/>
      </c>
      <c r="C6" s="27" t="str">
        <f>IF(TABLE!C3&gt;1,CONCATENATE("Surface = ",TABLE!C3," m²"),"")</f>
        <v/>
      </c>
      <c r="D6" s="90"/>
      <c r="E6" s="92" t="str">
        <f>IF(H2&gt;=900000,IF(H2&gt;=40000001,"  ❌❌❌❌❌❌❌❌❌❌❌❌❌❌❌❌❌❌❌❌❌❌❌❌",CONCATENATE("🌟    Les paramètres de l'édifice offrent une circulation aisée. Les espaces spacieux, s'accompagnent de rangements pratiques et d'une accessibilité optimale pour une vie confortable de ", TABLE!C2," m² d'espace exploitable.",IF(TABLE!F16&gt;=10,CONCATENATE("       🏠 RDC   +   🏠R+1 ", IF(TABLE!F16&gt;130," ",""),IF(TABLE!F19&gt;9,CONCATENATE("et un    🏠   R+2." ),"")),""))),"")</f>
        <v xml:space="preserve">  ❌❌❌❌❌❌❌❌❌❌❌❌❌❌❌❌❌❌❌❌❌❌❌❌</v>
      </c>
      <c r="F6" s="93"/>
      <c r="G6" s="93"/>
      <c r="H6" s="94"/>
      <c r="I6" s="70"/>
      <c r="K6" s="1"/>
      <c r="M6" s="1"/>
    </row>
    <row r="7" spans="1:14" ht="20" customHeight="1" x14ac:dyDescent="0.35">
      <c r="A7" s="14"/>
      <c r="B7" s="75"/>
      <c r="C7" s="30" t="str">
        <f>IF(TABLE!C3&gt;1,CONCATENATE("L = ",TABLE!S3,"m"," et ","l = ",TABLE!T3,"m"),"")</f>
        <v/>
      </c>
      <c r="D7" s="90"/>
      <c r="E7" s="95"/>
      <c r="F7" s="96"/>
      <c r="G7" s="96"/>
      <c r="H7" s="97"/>
      <c r="I7" s="70"/>
      <c r="K7" s="1"/>
      <c r="M7" s="1"/>
    </row>
    <row r="8" spans="1:14" ht="20" customHeight="1" x14ac:dyDescent="0.35">
      <c r="A8" s="11"/>
      <c r="B8" s="75" t="str">
        <f>IF(ROUNDUP(TABLE!C4,0)&lt;=1,"",(IF(ROUNDUP(TABLE!C4,0)=18,"Salon",(IF(ROUNDUP(TABLE!C4,0)&gt;=10,"Salon",(IF(ROUNDUP(TABLE!C4,0)&gt;=8,"Cuisine ",(IF(ROUNDUP(TABLE!C4,1)&gt;=4.5,"Cuisine américaine",IF(ROUNDUP(TABLE!C4,1)&gt;=4,"Douche + WC",IF(ROUNDUP(TABLE!C4,1)&gt;=1.4,"Douche ","")))))))))))</f>
        <v/>
      </c>
      <c r="C8" s="28" t="str">
        <f>IF(TABLE!C4&gt;1,CONCATENATE("Surface = ",TABLE!C4," m²"),"")</f>
        <v/>
      </c>
      <c r="D8" s="90"/>
      <c r="E8" s="95"/>
      <c r="F8" s="96"/>
      <c r="G8" s="96"/>
      <c r="H8" s="97"/>
      <c r="I8" s="70"/>
      <c r="K8" s="26"/>
      <c r="M8" s="1"/>
    </row>
    <row r="9" spans="1:14" ht="20" customHeight="1" x14ac:dyDescent="0.35">
      <c r="A9" s="11"/>
      <c r="B9" s="75"/>
      <c r="C9" s="31" t="str">
        <f>IF(TABLE!C4&gt;1,CONCATENATE("L = ",TABLE!S4,"m"," et ","l = ",TABLE!T4,"m"),"")</f>
        <v/>
      </c>
      <c r="D9" s="90"/>
      <c r="E9" s="95"/>
      <c r="F9" s="96"/>
      <c r="G9" s="96"/>
      <c r="H9" s="97"/>
      <c r="I9" s="70"/>
      <c r="K9" s="26"/>
      <c r="M9" s="1"/>
    </row>
    <row r="10" spans="1:14" ht="18" customHeight="1" x14ac:dyDescent="0.35">
      <c r="A10" s="16"/>
      <c r="B10" s="75" t="str">
        <f>IF(ROUNDUP(TABLE!C5,0)&lt;=1,"",(IF(ROUNDUP(TABLE!C5,0)=10,"Cuisine",(IF(ROUNDUP(TABLE!C5,0)&gt;=8,"Cuisine",(IF(ROUNDUP(TABLE!C5,0)&gt;=7,"Cuisine américaine ",(IF(ROUNDUP(TABLE!C5,1)&gt;=5,"Cuisine américaine",IF(ROUNDUP(TABLE!C5,1)&gt;=4,"Douche + WC",IF(ROUNDUP(TABLE!C5,1)&gt;=1.4,"Douche ","")))))))))))</f>
        <v/>
      </c>
      <c r="C10" s="27" t="str">
        <f>IF(TABLE!C5&gt;1,CONCATENATE("Surface = ",TABLE!C5," m²"),"")</f>
        <v/>
      </c>
      <c r="D10" s="90"/>
      <c r="E10" s="80" t="str">
        <f>IF(TABLE!C2&gt;=9,CONCATENATE("» » L'édifice est composé d'",IF(ROUNDUP(TABLE!C3,0)=0,"",(IF(ROUNDUP(TABLE!C3,0)&gt;=8,"une chambre, ",(IF(ROUNDUP(TABLE!C3,0)&gt;=12,"",(IF(ROUNDUP(TABLE!C3,0)&gt;=9,"",(IF(ROUNDUP(TABLE!C3,0)&lt;=3,""))))))))),IF(ROUNDUP(TABLE!C4,0)&lt;=1,"",(IF(ROUNDUP(TABLE!C4,0)=18,"un salon, ",(IF(ROUNDUP(TABLE!C4,0)&gt;=10,"un salon, ",(IF(ROUNDUP(TABLE!C4,0)&gt;=8,"une cuisine, ",(IF(ROUNDUP(TABLE!C4,1)&gt;=4.5,"une cuisine, américaine, ",IF(ROUNDUP(TABLE!C4,1)&gt;=4,"une douche + WC, ",IF(ROUNDUP(TABLE!C4,1)&gt;=1.4,"une douche, ",""))))))))))),IF(ROUNDUP(TABLE!C5,0)&lt;=1,"",(IF(ROUNDUP(TABLE!C5,0)=10,"une cuisine, ",(IF(ROUNDUP(TABLE!C5,0)&gt;=8,"une cuisine, ",(IF(ROUNDUP(TABLE!C5,0)&gt;=7,"une cuisine américaine, ",(IF(ROUNDUP(TABLE!C5,1)&gt;=5,"une cuisine américaine, ",IF(ROUNDUP(TABLE!C5,1)&gt;=4,"une douche + WC, ",IF(ROUNDUP(TABLE!C5,1)&gt;=1.4,"une douche, ",""))))))))))),IF(ROUNDUP(TABLE!C6,0)&lt;=1,"",(IF(ROUNDUP(TABLE!C6,0)=16,"une chambre patron ",(IF(ROUNDUP(TABLE!C6,0)&gt;=10,"une chambre patron ",(IF(ROUNDUP(TABLE!C6,0)&gt;=6,"une chambre enfant ",(IF(ROUNDUP(TABLE!C6,1)&gt;=4,"un couloir ",IF(ROUNDUP(TABLE!C6,1)&gt;=3,"une douche + WC ",IF(ROUNDUP(TABLE!C6,1)&gt;=1.4,"une douche ",""))))))))))),IF(ROUNDUP(TABLE!C7,0)&lt;=1,"",(IF(ROUNDUP(TABLE!C7,0)=8,"une grande salle de bain + WC ",(IF(ROUNDUP(TABLE!C7,0)&gt;=6,"une douche + WC ",(IF(ROUNDUP(TABLE!C7,0)&gt;=5,"une douche + WC ",(IF(ROUNDUP(TABLE!C7,1)&gt;=4.5,"une douche ",IF(ROUNDUP(TABLE!C7,1)&gt;=4,"une douche + WC ",IF(ROUNDUP(TABLE!C7,1)&gt;=1.4,"une douche ",""))))))))))),IF(ROUNDUP(TABLE!C8,0)&lt;=1,"",(IF(ROUNDUP(TABLE!C8,0)=10,"une terrasse ",(IF(ROUNDUP(TABLE!C8,0)&gt;=6,"une terrasse ",(IF(ROUNDUP(TABLE!C8,0)&gt;=7,"une véranda ",(IF(ROUNDUP(TABLE!C8,1)&gt;=4.5,"une véranda ",IF(ROUNDUP(TABLE!C8,1)&gt;=4,"une véranda ",IF(ROUNDUP(TABLE!C8,1)&gt;=1.4," ",""))))))))))),IF(ROUNDUP(TABLE!C9,0)&lt;=1,"",(IF(ROUNDUP(TABLE!C9,0)=10,"une chambre ",(IF(ROUNDUP(TABLE!C9,0)&gt;=8,"une chambre ergonomique ",(IF(ROUNDUP(TABLE!C9,0)&gt;=6,"une chambre enfant ",(IF(ROUNDUP(TABLE!C9,1)&gt;=4.5,"un magasin ",IF(ROUNDUP(TABLE!C9,1)&gt;=4,"un mini bar ",IF(ROUNDUP(TABLE!C9,1)&gt;=2,"un WC invité ",""))))))))))),IF(ROUNDUP(TABLE!C10,0)&lt;=1,"",(IF(ROUNDUP(TABLE!C10,0)=8,"une grande salle de bain + WC ",(IF(ROUNDUP(TABLE!C10,0)&gt;=6,"une douche + WC ",(IF(ROUNDUP(TABLE!C10,0)&gt;=5,"une douche + WC ",(IF(ROUNDUP(TABLE!C10,1)&gt;=4.5,"une douche ",IF(ROUNDUP(TABLE!C10,1)&gt;=4,"une douche + WC ",IF(ROUNDUP(TABLE!C10,1)&gt;=1.4,"une douche ",""))))))))))),IF(ROUNDUP(TABLE!C11,0)&lt;=1,"",(IF(ROUNDUP(TABLE!C11,0)=10,"une chambre invité avec placard ",(IF(ROUNDUP(TABLE!C11,0)&gt;=8,"une chambre ergonomique ",(IF(ROUNDUP(TABLE!C11,0)&gt;=6,"une chambre enfant ",(IF(ROUNDUP(TABLE!C11,1)&gt;=4.5,"un magasin ",IF(ROUNDUP(TABLE!C11,1)&gt;=4,"un mini bar ",IF(ROUNDUP(TABLE!C11,1)&gt;=2,"un WC invité ",""))))))))))),IF(ROUNDUP(TABLE!C12,0)&lt;=1,"",(IF(ROUNDUP(TABLE!C12,0)=8,"un magasin ",(IF(ROUNDUP(TABLE!C12,0)&gt;=6,"un magasin ",(IF(ROUNDUP(TABLE!C12,0)&gt;=5,"un espace de stockage ",(IF(ROUNDUP(TABLE!C12,1)&gt;=4,"un espace de stockage ",IF(ROUNDUP(TABLE!C12,1)&gt;=2.5,"un mini bar ",IF(ROUNDUP(TABLE!C12,1)&gt;=1.5,"une douche invité ",""))))))))))),IF(ROUNDUP(TABLE!C13,0)&lt;=1,"",(IF(ROUNDUP(TABLE!C13,0)=10,"un bureau ",(IF(ROUNDUP(TABLE!C13,0)&gt;=8,"un bureau ",(IF(ROUNDUP(TABLE!C13,0)&gt;=6,"un bureau ",(IF(ROUNDUP(TABLE!C13,1)&gt;=4.5,"un espace de travail ",IF(ROUNDUP(TABLE!C13,1)&gt;=4,"un petit espace de travail ",IF(ROUNDUP(TABLE!C13,1)&gt;=2,"un espace de rangement ",""))))))))))),IF(ROUNDUP(TABLE!C14,0)&lt;=1,"",(IF(ROUNDUP(TABLE!C14,0)=12,"un garage ",(IF(ROUNDUP(TABLE!C14,0)&gt;=10,"un garage ",(IF(ROUNDUP(TABLE!C14,0)&gt;=8,"un garage ",(IF(ROUNDUP(TABLE!C14,1)&gt;=4.5,"une terrasse secondaire ",IF(ROUNDUP(TABLE!C14,1)&gt;=3,"une terrasse secondaire ",IF(ROUNDUP(TABLE!C14,1)&gt;=2.5,"un Hall ",""))))))))))),"."),"")</f>
        <v/>
      </c>
      <c r="F10" s="81"/>
      <c r="G10" s="81"/>
      <c r="H10" s="82"/>
      <c r="I10" s="70"/>
      <c r="K10" s="1"/>
      <c r="M10" s="1"/>
      <c r="N10" s="40"/>
    </row>
    <row r="11" spans="1:14" ht="18" customHeight="1" x14ac:dyDescent="0.35">
      <c r="A11" s="16"/>
      <c r="B11" s="75"/>
      <c r="C11" s="30" t="str">
        <f>IF(TABLE!C5&gt;1,CONCATENATE("L = ",TABLE!S5,"m"," et ","l = ",TABLE!T5,"m"),"")</f>
        <v/>
      </c>
      <c r="D11" s="90"/>
      <c r="E11" s="80"/>
      <c r="F11" s="81"/>
      <c r="G11" s="81"/>
      <c r="H11" s="82"/>
      <c r="I11" s="70"/>
      <c r="K11" s="1"/>
      <c r="M11" s="1"/>
    </row>
    <row r="12" spans="1:14" ht="18" customHeight="1" x14ac:dyDescent="0.35">
      <c r="A12" s="15"/>
      <c r="B12" s="75" t="str">
        <f>IF(ROUNDUP(TABLE!C6,0)&lt;=1,"",(IF(ROUNDUP(TABLE!C6,0)=16,"Chambre patron",(IF(ROUNDUP(TABLE!C6,0)&gt;=10,"Chambre patron",(IF(ROUNDUP(TABLE!C6,0)&gt;=6,"Chambre enfant ",(IF(ROUNDUP(TABLE!C6,1)&gt;=4,"Couloir ",IF(ROUNDUP(TABLE!C6,1)&gt;=3,"Douche + WC ",IF(ROUNDUP(TABLE!C6,1)&gt;=1.4,"Douche ","")))))))))))</f>
        <v/>
      </c>
      <c r="C12" s="28" t="str">
        <f>IF(TABLE!C6&gt;1,CONCATENATE("Surface = ",TABLE!C6," m²"),"")</f>
        <v/>
      </c>
      <c r="D12" s="90"/>
      <c r="E12" s="80"/>
      <c r="F12" s="81"/>
      <c r="G12" s="81"/>
      <c r="H12" s="82"/>
      <c r="I12" s="70"/>
      <c r="K12" s="1"/>
    </row>
    <row r="13" spans="1:14" ht="18" customHeight="1" x14ac:dyDescent="0.35">
      <c r="A13" s="15"/>
      <c r="B13" s="75"/>
      <c r="C13" s="31" t="str">
        <f>IF(TABLE!C6&gt;1,CONCATENATE("L = ",TABLE!S6,"m"," et ","l = ",TABLE!T6,"m"),"")</f>
        <v/>
      </c>
      <c r="D13" s="90"/>
      <c r="E13" s="80"/>
      <c r="F13" s="81"/>
      <c r="G13" s="81"/>
      <c r="H13" s="82"/>
      <c r="I13" s="70"/>
      <c r="K13" s="1"/>
    </row>
    <row r="14" spans="1:14" ht="18" customHeight="1" x14ac:dyDescent="0.35">
      <c r="A14" s="19"/>
      <c r="B14" s="75" t="str">
        <f>IF(ROUNDUP(TABLE!C7,0)&lt;=1,"",(IF(ROUNDUP(TABLE!C7,0)=8,"Grande salle de bain + WC ",(IF(ROUNDUP(TABLE!C7,0)&gt;=6,"Douche + WC",(IF(ROUNDUP(TABLE!C7,0)&gt;=5,"Douche + WC ",(IF(ROUNDUP(TABLE!C7,1)&gt;=4.5,"Douche",IF(ROUNDUP(TABLE!C7,1)&gt;=4,"Douche + WC",IF(ROUNDUP(TABLE!C7,1)&gt;=1.4,"Douche ","")))))))))))</f>
        <v/>
      </c>
      <c r="C14" s="27" t="str">
        <f>IF(TABLE!C7&gt;1,CONCATENATE("Surface = ",TABLE!C7," m²"),"")</f>
        <v/>
      </c>
      <c r="D14" s="90"/>
      <c r="E14" s="99" t="str">
        <f>IF(H2&lt;900000,IF(TABLE!F16&gt;=10,CONCATENATE("🏠 Votre budget a une possibilité d'avoir un second niveau (R+1) de ", IF(TABLE!F16&gt;130,"130",TABLE!F16)," m².",IF(TABLE!C17,CONCATENATE("et un troisième niveau (R+2) ayant une surface de ",TABLE!F19," m²." ),"")),""),"")</f>
        <v/>
      </c>
      <c r="F14" s="100"/>
      <c r="G14" s="100"/>
      <c r="H14" s="101"/>
      <c r="I14" s="70"/>
      <c r="K14" s="1"/>
    </row>
    <row r="15" spans="1:14" ht="18" customHeight="1" x14ac:dyDescent="0.35">
      <c r="A15" s="19"/>
      <c r="B15" s="75"/>
      <c r="C15" s="30" t="str">
        <f>IF(TABLE!C7&gt;1,CONCATENATE("L = ",TABLE!S7,"m"," et ","l = ",TABLE!T7,"m"),"")</f>
        <v/>
      </c>
      <c r="D15" s="90"/>
      <c r="E15" s="99"/>
      <c r="F15" s="100"/>
      <c r="G15" s="100"/>
      <c r="H15" s="101"/>
      <c r="I15" s="70"/>
      <c r="K15" s="1"/>
    </row>
    <row r="16" spans="1:14" ht="18" customHeight="1" x14ac:dyDescent="0.35">
      <c r="A16" s="13"/>
      <c r="B16" s="75" t="str">
        <f>IF(ROUNDUP(TABLE!C8,0)&lt;=1,"",(IF(ROUNDUP(TABLE!C8,0)=10,"Terrasse",(IF(ROUNDUP(TABLE!C8,0)&gt;=6,"Terrasse",(IF(ROUNDUP(TABLE!C8,0)&gt;=7,"Véranda ",(IF(ROUNDUP(TABLE!C8,1)&gt;=4.5,"Véranda",IF(ROUNDUP(TABLE!C8,1)&gt;=4,"Véranda",IF(ROUNDUP(TABLE!C8,1)&gt;=1.4," ","")))))))))))</f>
        <v/>
      </c>
      <c r="C16" s="28" t="str">
        <f>IF(TABLE!C8&gt;1,CONCATENATE("Surface = ",TABLE!C8," m²"),"")</f>
        <v/>
      </c>
      <c r="D16" s="90"/>
      <c r="E16" s="67"/>
      <c r="F16" s="67"/>
      <c r="G16" s="67"/>
      <c r="H16" s="67"/>
      <c r="I16" s="70"/>
      <c r="K16" s="1"/>
    </row>
    <row r="17" spans="1:14" ht="18" customHeight="1" x14ac:dyDescent="0.35">
      <c r="A17" s="13"/>
      <c r="B17" s="75"/>
      <c r="C17" s="31" t="str">
        <f>IF(TABLE!C8&gt;1,CONCATENATE("L = ",TABLE!S8,"m"," et ","l = ",TABLE!T8,"m"),"")</f>
        <v/>
      </c>
      <c r="D17" s="90"/>
      <c r="E17" s="83" t="str">
        <f>IF(TABLE!C2&gt;=9,CONCATENATE("🔴 ",TABLE!B8),"")</f>
        <v/>
      </c>
      <c r="F17" s="84"/>
      <c r="G17" s="84"/>
      <c r="H17" s="85"/>
      <c r="I17" s="70"/>
      <c r="J17" s="32"/>
      <c r="K17" s="1"/>
    </row>
    <row r="18" spans="1:14" ht="18" customHeight="1" x14ac:dyDescent="0.35">
      <c r="A18" s="12"/>
      <c r="B18" s="75" t="str">
        <f>IF(ROUNDUP(TABLE!C9,0)&lt;=1,"",(IF(ROUNDUP(TABLE!C9,0)=10,"Chambre",(IF(ROUNDUP(TABLE!C9,0)&gt;=8,"Chambre ergonomique ",(IF(ROUNDUP(TABLE!C9,0)&gt;=6,"Chambre enfant ",(IF(ROUNDUP(TABLE!C9,1)&gt;=4.5,"Magasin",IF(ROUNDUP(TABLE!C9,1)&gt;=4,"Mini bar",IF(ROUNDUP(TABLE!C9,1)&gt;=2,"WC invité ","")))))))))))</f>
        <v/>
      </c>
      <c r="C18" s="27" t="str">
        <f>IF(TABLE!C9&gt;1,CONCATENATE("Surface = ",TABLE!C9," m²"),"")</f>
        <v/>
      </c>
      <c r="D18" s="90"/>
      <c r="E18" s="83"/>
      <c r="F18" s="84"/>
      <c r="G18" s="84"/>
      <c r="H18" s="85"/>
      <c r="I18" s="70"/>
      <c r="K18" s="1"/>
    </row>
    <row r="19" spans="1:14" ht="18" customHeight="1" x14ac:dyDescent="0.35">
      <c r="A19" s="12"/>
      <c r="B19" s="75"/>
      <c r="C19" s="30" t="str">
        <f>IF(TABLE!C9&gt;1,CONCATENATE("L = ",TABLE!S9,"m"," et ","l = ",TABLE!T9,"m"),"")</f>
        <v/>
      </c>
      <c r="D19" s="90"/>
      <c r="E19" s="83"/>
      <c r="F19" s="84"/>
      <c r="G19" s="84"/>
      <c r="H19" s="85"/>
      <c r="I19" s="70"/>
      <c r="K19" s="1"/>
    </row>
    <row r="20" spans="1:14" ht="18" customHeight="1" x14ac:dyDescent="0.35">
      <c r="A20" s="18"/>
      <c r="B20" s="75" t="str">
        <f>IF(ROUNDUP(TABLE!C10,0)&lt;=1,"",(IF(ROUNDUP(TABLE!C10,0)=8,"Grande salle de bain + WC ",(IF(ROUNDUP(TABLE!C10,0)&gt;=6,"Douche + WC",(IF(ROUNDUP(TABLE!C10,0)&gt;=5,"Douche + WC ",(IF(ROUNDUP(TABLE!C10,1)&gt;=4.5,"Douche",IF(ROUNDUP(TABLE!C10,1)&gt;=4,"Douche + WC",IF(ROUNDUP(TABLE!C10,1)&gt;=1.4,"Douche ","")))))))))))</f>
        <v/>
      </c>
      <c r="C20" s="28" t="str">
        <f>IF(TABLE!C10&gt;1,CONCATENATE("Surface = ",TABLE!C10," m²"),"")</f>
        <v/>
      </c>
      <c r="D20" s="90"/>
      <c r="E20" s="86" t="str">
        <f>IF(TABLE!C2&gt;=9,TABLE!B9,"")</f>
        <v/>
      </c>
      <c r="F20" s="87"/>
      <c r="G20" s="87"/>
      <c r="H20" s="88"/>
      <c r="I20" s="70"/>
      <c r="K20" s="1"/>
    </row>
    <row r="21" spans="1:14" ht="18" customHeight="1" x14ac:dyDescent="0.35">
      <c r="A21" s="18"/>
      <c r="B21" s="75"/>
      <c r="C21" s="31" t="str">
        <f>IF(TABLE!C10&gt;1,CONCATENATE("L = ",TABLE!S10,"m"," et ","l = ",TABLE!T10,"m"),"")</f>
        <v/>
      </c>
      <c r="D21" s="90"/>
      <c r="E21" s="86"/>
      <c r="F21" s="87"/>
      <c r="G21" s="87"/>
      <c r="H21" s="88"/>
      <c r="I21" s="70"/>
      <c r="K21" s="1"/>
    </row>
    <row r="22" spans="1:14" ht="18" customHeight="1" x14ac:dyDescent="0.35">
      <c r="A22" s="23"/>
      <c r="B22" s="75" t="str">
        <f>IF(ROUNDUP(TABLE!C11,0)&lt;=1,"",(IF(ROUNDUP(TABLE!C11,0)=10,"Chambre invité avec placard",(IF(ROUNDUP(TABLE!C11,0)&gt;=8,"Chambre ergonomique ",(IF(ROUNDUP(TABLE!C11,0)&gt;=6,"Chambre enfant ",(IF(ROUNDUP(TABLE!C11,1)&gt;=4.5,"Magasin",IF(ROUNDUP(TABLE!C11,1)&gt;=4,"Mini bar",IF(ROUNDUP(TABLE!C11,1)&gt;=2,"WC invité ","")))))))))))</f>
        <v/>
      </c>
      <c r="C22" s="27" t="str">
        <f>IF(TABLE!C11&gt;1,CONCATENATE("Surface = ",TABLE!C11," m²"),"")</f>
        <v/>
      </c>
      <c r="D22" s="90"/>
      <c r="E22" s="86"/>
      <c r="F22" s="87"/>
      <c r="G22" s="87"/>
      <c r="H22" s="88"/>
      <c r="I22" s="70"/>
      <c r="K22" s="1"/>
    </row>
    <row r="23" spans="1:14" ht="18" customHeight="1" x14ac:dyDescent="0.35">
      <c r="A23" s="23"/>
      <c r="B23" s="75"/>
      <c r="C23" s="30" t="str">
        <f>IF(TABLE!C11&gt;1,CONCATENATE("L = ",TABLE!S11,"m"," et ","l = ",TABLE!T11,"m"),"")</f>
        <v/>
      </c>
      <c r="D23" s="90"/>
      <c r="F23" s="33"/>
      <c r="G23" s="33"/>
      <c r="H23" s="33"/>
      <c r="I23" s="70"/>
      <c r="K23" s="1"/>
    </row>
    <row r="24" spans="1:14" ht="18" customHeight="1" x14ac:dyDescent="0.35">
      <c r="A24" s="24"/>
      <c r="B24" s="75" t="str">
        <f>IF(ROUNDUP(TABLE!C12,0)&lt;=1,"",(IF(ROUNDUP(TABLE!C12,0)=8,"Magasin",(IF(ROUNDUP(TABLE!C12,0)&gt;=6,"Magasin",(IF(ROUNDUP(TABLE!C12,0)&gt;=5,"Espace de stockage ",(IF(ROUNDUP(TABLE!C12,1)&gt;=4,"Espace de stockage",IF(ROUNDUP(TABLE!C12,1)&gt;=2.5,"Mini bar",IF(ROUNDUP(TABLE!C12,1)&gt;=1.5,"Douche invité ","")))))))))))</f>
        <v/>
      </c>
      <c r="C24" s="28" t="str">
        <f>IF(TABLE!C12&gt;1,CONCATENATE("Surface = ",TABLE!C12," m²"),"")</f>
        <v/>
      </c>
      <c r="D24" s="90"/>
      <c r="E24" s="105" t="str">
        <f>IF(TABLE!C2&gt;=9,CONCATENATE("🔹🔹🔹  ",TABLE!K2,", ",TABLE!K3,", ",TABLE!K4,", ",TABLE!K5,", ",TABLE!K6,", ",TABLE!K7,", ",TABLE!K8,", ",TABLE!K9,", ",TABLE!K10,", ",TABLE!K11,"."),"")</f>
        <v/>
      </c>
      <c r="F24" s="106"/>
      <c r="G24" s="106"/>
      <c r="H24" s="107"/>
      <c r="I24" s="70"/>
      <c r="K24" s="1"/>
      <c r="N24" s="9"/>
    </row>
    <row r="25" spans="1:14" ht="18" customHeight="1" x14ac:dyDescent="0.35">
      <c r="A25" s="24"/>
      <c r="B25" s="75"/>
      <c r="C25" s="31" t="str">
        <f>IF(TABLE!C12&gt;1,CONCATENATE("L = ",TABLE!S12,"m"," et ","l = ",TABLE!T12,"m"),"")</f>
        <v/>
      </c>
      <c r="D25" s="90"/>
      <c r="E25" s="105"/>
      <c r="F25" s="106"/>
      <c r="G25" s="106"/>
      <c r="H25" s="107"/>
      <c r="I25" s="70"/>
      <c r="K25" s="1"/>
    </row>
    <row r="26" spans="1:14" ht="18" customHeight="1" x14ac:dyDescent="0.35">
      <c r="A26" s="10"/>
      <c r="B26" s="75" t="str">
        <f>IF(ROUNDUP(TABLE!C13,0)&lt;=1,"",(IF(ROUNDUP(TABLE!C13,0)=10,"Bureau ",(IF(ROUNDUP(TABLE!C13,0)&gt;=8,"Bureau ",(IF(ROUNDUP(TABLE!C13,0)&gt;=6,"Bureau ",(IF(ROUNDUP(TABLE!C13,1)&gt;=4.5,"Mini bureau ",IF(ROUNDUP(TABLE!C13,1)&gt;=4,"Espace de travail ",IF(ROUNDUP(TABLE!C13,1)&gt;=2,"Espace de rangement ","")))))))))))</f>
        <v/>
      </c>
      <c r="C26" s="27" t="str">
        <f>IF(TABLE!C13&gt;1,CONCATENATE("Surface = ",TABLE!C13," m²"),"")</f>
        <v/>
      </c>
      <c r="D26" s="90"/>
      <c r="E26" s="105"/>
      <c r="F26" s="106"/>
      <c r="G26" s="106"/>
      <c r="H26" s="107"/>
      <c r="I26" s="70"/>
      <c r="K26" s="1"/>
    </row>
    <row r="27" spans="1:14" ht="18" customHeight="1" x14ac:dyDescent="0.35">
      <c r="A27" s="10"/>
      <c r="B27" s="75"/>
      <c r="C27" s="30" t="str">
        <f>IF(TABLE!C13&gt;1,CONCATENATE("L = ",TABLE!S13,"m"," et ","l = ",TABLE!T13,"m"),"")</f>
        <v/>
      </c>
      <c r="D27" s="90"/>
      <c r="E27" s="105"/>
      <c r="F27" s="106"/>
      <c r="G27" s="106"/>
      <c r="H27" s="107"/>
      <c r="I27" s="70"/>
      <c r="K27" s="1"/>
    </row>
    <row r="28" spans="1:14" ht="18" customHeight="1" x14ac:dyDescent="0.35">
      <c r="A28" s="17"/>
      <c r="B28" s="75" t="str">
        <f>IF(ROUNDUP(TABLE!C14,0)&lt;=1,"",(IF(ROUNDUP(TABLE!C14,0)=12,"Garage",(IF(ROUNDUP(TABLE!C14,0)&gt;=10,"Garage",(IF(ROUNDUP(TABLE!C14,0)&gt;=8,"Garage ",(IF(ROUNDUP(TABLE!C14,1)&gt;=4.5,"Terrasse secondaire ",IF(ROUNDUP(TABLE!C14,1)&gt;=3,"Terrasse secondaire ",IF(ROUNDUP(TABLE!C14,1)&gt;=2,"Hall ","")))))))))))</f>
        <v/>
      </c>
      <c r="C28" s="28" t="str">
        <f>IF(TABLE!C14&gt;=2,CONCATENATE("Surface = ",TABLE!C14," m²"),"")</f>
        <v/>
      </c>
      <c r="D28" s="90"/>
      <c r="E28" s="98" t="str">
        <f>IF(TABLE!C2&gt;=9,CONCATENATE("🔸 DEPENSE EN MATERIAUX :"),"")</f>
        <v/>
      </c>
      <c r="F28" s="98"/>
      <c r="G28" s="98"/>
      <c r="H28" s="34" t="str">
        <f>IF(TABLE!C2&gt;=9,CONCATENATE((10+SUM(TABLE!L4:L12))/100*H2," F"),"")</f>
        <v/>
      </c>
      <c r="I28" s="69"/>
      <c r="K28" s="1"/>
      <c r="N28" s="2"/>
    </row>
    <row r="29" spans="1:14" ht="18" customHeight="1" x14ac:dyDescent="0.35">
      <c r="A29" s="17"/>
      <c r="B29" s="75"/>
      <c r="C29" s="31" t="str">
        <f>IF(TABLE!C14&gt;=2,CONCATENATE("L = ",TABLE!S14,"m"," et ","l = ",TABLE!T14,"m"),"")</f>
        <v/>
      </c>
      <c r="D29" s="91"/>
      <c r="E29" s="98" t="str">
        <f>IF(TABLE!C2&gt;=9,CONCATENATE("🔸 DEPENSE EN MAIN D'ŒUVRE :"),"")</f>
        <v/>
      </c>
      <c r="F29" s="98"/>
      <c r="G29" s="98"/>
      <c r="H29" s="35" t="str">
        <f>IF(TABLE!C2&gt;=9,CONCATENATE((6.45+SUM(TABLE!M4:M12))/100*H2," F"),"")</f>
        <v/>
      </c>
      <c r="I29" s="71"/>
      <c r="K29" s="1"/>
      <c r="N29" s="41"/>
    </row>
    <row r="30" spans="1:14" ht="4" customHeight="1" x14ac:dyDescent="0.35">
      <c r="A30" s="5"/>
      <c r="B30" s="5"/>
      <c r="C30" s="5"/>
      <c r="D30" s="25"/>
      <c r="E30" s="5"/>
      <c r="F30" s="5"/>
      <c r="G30" s="5"/>
      <c r="H30" s="5"/>
      <c r="I30" s="5"/>
      <c r="K30" s="1"/>
    </row>
    <row r="31" spans="1:14" ht="19.5" customHeight="1" x14ac:dyDescent="0.35">
      <c r="A31" s="21"/>
      <c r="B31" s="102" t="s">
        <v>58</v>
      </c>
      <c r="C31" s="103"/>
      <c r="D31" s="37"/>
      <c r="E31" s="103" t="s">
        <v>59</v>
      </c>
      <c r="F31" s="103"/>
      <c r="G31" s="103"/>
      <c r="H31" s="104"/>
      <c r="I31" s="21"/>
      <c r="K31" s="1"/>
    </row>
    <row r="32" spans="1:14" ht="15.5" customHeight="1" x14ac:dyDescent="0.35">
      <c r="K32" s="1"/>
    </row>
    <row r="33" spans="2:13" ht="15.5" customHeight="1" x14ac:dyDescent="0.35">
      <c r="B33" s="26" t="str">
        <f>IF(TABLE!C2&gt;=9,CONCATENATE("1.Maître d'ouvrage (client/propriétaire) "),"")</f>
        <v/>
      </c>
      <c r="C33" s="26"/>
      <c r="E33" s="113" t="str">
        <f>IF(TABLE!C2&gt;=9,CONCATENATE("DUREE ESTIMEE DES TRAVAUX"),"")</f>
        <v/>
      </c>
      <c r="F33" s="113"/>
      <c r="G33" s="113"/>
      <c r="H33" s="113"/>
      <c r="K33" s="1"/>
    </row>
    <row r="34" spans="2:13" ht="15.75" customHeight="1" x14ac:dyDescent="0.35">
      <c r="B34" s="26" t="str">
        <f>IF(TABLE!C2&gt;=9,CONCATENATE("2.Architecte "),"")</f>
        <v/>
      </c>
      <c r="C34" s="26"/>
      <c r="E34" s="36" t="str">
        <f>IF(TABLE!C2&gt;=9,CONCATENATE(" 🔻 "),"")</f>
        <v/>
      </c>
      <c r="F34" s="8" t="str">
        <f>IF(TABLE!C2&gt;=9,CONCATENATE(" 🔻 "),"")</f>
        <v/>
      </c>
      <c r="G34" s="36" t="str">
        <f>IF(TABLE!C2&gt;=9,CONCATENATE(" 🔻 "),"")</f>
        <v/>
      </c>
      <c r="H34" s="36" t="str">
        <f>IF(TABLE!C2&gt;=9,CONCATENATE(" 🔻 "),"")</f>
        <v/>
      </c>
      <c r="K34" s="1"/>
    </row>
    <row r="35" spans="2:13" ht="15.5" customHeight="1" x14ac:dyDescent="0.35">
      <c r="B35" s="26" t="str">
        <f>IF(TABLE!C2&gt;=9,CONCATENATE("3.Ingénieur de structure"),"")</f>
        <v/>
      </c>
      <c r="C35" s="26"/>
      <c r="E35" s="114" t="str">
        <f>IF(TABLE!C2&gt;=9,CONCATENATE(" Gros œuvre "),"")</f>
        <v/>
      </c>
      <c r="F35" s="114"/>
      <c r="G35" s="114" t="str">
        <f>IF(TABLE!C2&gt;=9,CONCATENATE(" Second œuvre "),"")</f>
        <v/>
      </c>
      <c r="H35" s="114"/>
      <c r="K35" s="1"/>
    </row>
    <row r="36" spans="2:13" x14ac:dyDescent="0.35">
      <c r="B36" s="26" t="str">
        <f>IF(TABLE!C2&gt;=9,CONCATENATE("4.Ingénieur MEP (Meca, Elec, et Plom)"),"")</f>
        <v/>
      </c>
      <c r="C36" s="26"/>
      <c r="E36" s="115" t="str">
        <f>IF(TABLE!C2&gt;=9,IF(TABLE!C2&lt;=16,CONCATENATE(ROUNDUP(1.25*TABLE!C2,0)," jours"),CONCATENATE(ROUNDUP(0.35*TABLE!C2,0)," jours")),"")</f>
        <v/>
      </c>
      <c r="F36" s="115"/>
      <c r="G36" s="115" t="str">
        <f>IF(TABLE!C2&gt;=9,IF(TABLE!C2&lt;=16,CONCATENATE(ROUNDUP(0.75*TABLE!C2,0)," jours"),CONCATENATE(ROUNDUP(0.25*TABLE!C2,0)," jours")),"")</f>
        <v/>
      </c>
      <c r="H36" s="115"/>
      <c r="K36" s="1"/>
    </row>
    <row r="37" spans="2:13" ht="15.5" customHeight="1" x14ac:dyDescent="0.35">
      <c r="B37" s="26" t="str">
        <f>IF(TABLE!C2&gt;=9,CONCATENATE("5.Entrepreneur principal"),"")</f>
        <v/>
      </c>
      <c r="C37" s="26"/>
      <c r="K37" s="1"/>
    </row>
    <row r="38" spans="2:13" x14ac:dyDescent="0.35">
      <c r="B38" s="26" t="str">
        <f>IF(TABLE!C2&gt;=9,CONCATENATE("6.Maître d'œuvre "),"")</f>
        <v/>
      </c>
      <c r="C38" s="26"/>
      <c r="K38" s="1"/>
      <c r="M38" s="26"/>
    </row>
    <row r="39" spans="2:13" x14ac:dyDescent="0.35">
      <c r="B39" s="26" t="str">
        <f>IF(TABLE!C2&gt;=9,CONCATENATE("7.Entreprises de gros œuvre"),"")</f>
        <v/>
      </c>
      <c r="C39" s="26"/>
      <c r="E39" s="112" t="str">
        <f>IF(TABLE!C2&gt;=9,CONCATENATE("CADENCE DES TRAVAUX"),"")</f>
        <v/>
      </c>
      <c r="F39" s="112"/>
      <c r="G39" s="112"/>
      <c r="H39" s="112"/>
      <c r="K39" s="1"/>
      <c r="M39" s="26"/>
    </row>
    <row r="40" spans="2:13" ht="16.5" customHeight="1" x14ac:dyDescent="0.35">
      <c r="B40" s="26" t="str">
        <f>IF(TABLE!C2&gt;=9,CONCATENATE("8.Entreprises de second œuvre"),"")</f>
        <v/>
      </c>
      <c r="C40" s="26"/>
      <c r="K40" s="1"/>
    </row>
    <row r="41" spans="2:13" x14ac:dyDescent="0.35">
      <c r="B41" s="26" t="str">
        <f>IF(TABLE!C2&gt;=9,CONCATENATE("9.Agences de surveillance"),"")</f>
        <v/>
      </c>
      <c r="C41" s="26"/>
      <c r="E41" s="116" t="str">
        <f>IF(TABLE!C2&gt;=9,CONCATENATE("❌ La version gratuite n'a pas la cadence des travaux. ❌ "),"")</f>
        <v/>
      </c>
      <c r="F41" s="116"/>
      <c r="G41" s="116"/>
      <c r="H41" s="116"/>
      <c r="K41" s="1"/>
    </row>
    <row r="42" spans="2:13" ht="15.5" customHeight="1" x14ac:dyDescent="0.35">
      <c r="B42" s="26" t="str">
        <f>IF(TABLE!C2&gt;=9,CONCATENATE("10.Urbanistes"),"")</f>
        <v/>
      </c>
      <c r="C42" s="26"/>
      <c r="E42" s="116"/>
      <c r="F42" s="116"/>
      <c r="G42" s="116"/>
      <c r="H42" s="116"/>
      <c r="K42" s="1"/>
    </row>
    <row r="43" spans="2:13" ht="14.5" customHeight="1" x14ac:dyDescent="0.35">
      <c r="B43" s="26" t="str">
        <f>IF(TABLE!C2&gt;=9,CONCATENATE("11.Institutions financières"),"")</f>
        <v/>
      </c>
      <c r="C43" s="26"/>
      <c r="K43" s="1"/>
    </row>
    <row r="44" spans="2:13" x14ac:dyDescent="0.35">
      <c r="B44" s="26" t="str">
        <f>IF(TABLE!C2&gt;=9,CONCATENATE("12.Assureurs"),"")</f>
        <v/>
      </c>
      <c r="C44" s="26"/>
      <c r="K44" s="1"/>
    </row>
    <row r="45" spans="2:13" x14ac:dyDescent="0.35">
      <c r="B45" s="26" t="str">
        <f>IF(TABLE!C2&gt;=9,CONCATENATE("13.Autorités gouvernementales"),"")</f>
        <v/>
      </c>
      <c r="C45" s="26"/>
      <c r="K45" s="1"/>
    </row>
    <row r="46" spans="2:13" x14ac:dyDescent="0.35">
      <c r="C46" s="26"/>
      <c r="K46" s="1"/>
    </row>
    <row r="47" spans="2:13" x14ac:dyDescent="0.35">
      <c r="B47" s="110" t="s">
        <v>71</v>
      </c>
      <c r="C47" s="111"/>
      <c r="E47" s="108" t="str">
        <f>IF(H2&gt;=900000,"En savoir plus sur cette feuille","")</f>
        <v>En savoir plus sur cette feuille</v>
      </c>
      <c r="F47" s="108"/>
      <c r="G47" s="109">
        <f>H2</f>
        <v>45000000</v>
      </c>
      <c r="H47" s="108"/>
      <c r="K47" s="1"/>
    </row>
    <row r="48" spans="2:13" x14ac:dyDescent="0.35">
      <c r="C48" s="26"/>
      <c r="K48" s="1"/>
    </row>
    <row r="49" spans="1:13" s="3" customFormat="1" ht="16" customHeight="1" x14ac:dyDescent="0.35">
      <c r="A49" s="1"/>
      <c r="D49" s="2"/>
      <c r="E49" s="1"/>
      <c r="F49" s="1"/>
      <c r="G49" s="1"/>
      <c r="M49" s="4"/>
    </row>
    <row r="50" spans="1:13" x14ac:dyDescent="0.35">
      <c r="K50" s="1"/>
    </row>
    <row r="51" spans="1:13" x14ac:dyDescent="0.35">
      <c r="K51" s="1"/>
    </row>
    <row r="52" spans="1:13" x14ac:dyDescent="0.35">
      <c r="B52" s="26"/>
      <c r="K52" s="1"/>
    </row>
    <row r="53" spans="1:13" x14ac:dyDescent="0.35">
      <c r="K53" s="1"/>
    </row>
    <row r="54" spans="1:13" x14ac:dyDescent="0.35">
      <c r="B54" s="26"/>
      <c r="K54" s="1"/>
    </row>
    <row r="55" spans="1:13" x14ac:dyDescent="0.35">
      <c r="B55" s="26"/>
      <c r="K55" s="1"/>
    </row>
    <row r="56" spans="1:13" ht="17.5" customHeight="1" x14ac:dyDescent="0.35">
      <c r="B56" s="26"/>
      <c r="K56" s="1"/>
    </row>
    <row r="57" spans="1:13" x14ac:dyDescent="0.35">
      <c r="B57" s="26"/>
      <c r="K57" s="1"/>
    </row>
    <row r="58" spans="1:13" x14ac:dyDescent="0.35">
      <c r="B58" s="26"/>
      <c r="K58" s="1"/>
    </row>
    <row r="59" spans="1:13" x14ac:dyDescent="0.35">
      <c r="B59" s="26"/>
      <c r="K59" s="1"/>
    </row>
    <row r="60" spans="1:13" x14ac:dyDescent="0.35">
      <c r="B60" s="9"/>
    </row>
  </sheetData>
  <sheetProtection algorithmName="SHA-512" hashValue="h+IYRd+V8C7tSaiS15SRxU0uX9/40qs2izlcMbG0NW4OBzaa6F9bJ3t/UR8JOCtIp3mK7hzJ0Iqce3SOvOqRHw==" saltValue="VM82OgfC+8nhyeZFWqW+3g==" spinCount="100000" sheet="1" objects="1" scenarios="1" selectLockedCells="1"/>
  <mergeCells count="38">
    <mergeCell ref="E47:F47"/>
    <mergeCell ref="G47:H47"/>
    <mergeCell ref="B47:C47"/>
    <mergeCell ref="E39:H39"/>
    <mergeCell ref="E33:H33"/>
    <mergeCell ref="E35:F35"/>
    <mergeCell ref="G35:H35"/>
    <mergeCell ref="E36:F36"/>
    <mergeCell ref="G36:H36"/>
    <mergeCell ref="E41:H42"/>
    <mergeCell ref="B31:C31"/>
    <mergeCell ref="E31:H31"/>
    <mergeCell ref="B24:B25"/>
    <mergeCell ref="B26:B27"/>
    <mergeCell ref="E24:H27"/>
    <mergeCell ref="B28:B29"/>
    <mergeCell ref="E20:H22"/>
    <mergeCell ref="D5:D29"/>
    <mergeCell ref="E6:H9"/>
    <mergeCell ref="E28:G28"/>
    <mergeCell ref="E29:G29"/>
    <mergeCell ref="E14:H15"/>
    <mergeCell ref="I2:I29"/>
    <mergeCell ref="E5:H5"/>
    <mergeCell ref="B5:C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1:G2"/>
    <mergeCell ref="A3:H3"/>
    <mergeCell ref="E10:H13"/>
    <mergeCell ref="E17:H19"/>
  </mergeCells>
  <hyperlinks>
    <hyperlink ref="E47:F47" r:id="rId1" tooltip="Je veux en savoir plus" display="axescrone.com"/>
    <hyperlink ref="G47:H47" location="E_P_B!A1" tooltip="Comment mettre en oeuvre mon projet de construction ?" display="E_P_B!A1"/>
    <hyperlink ref="B47" r:id="rId2"/>
  </hyperlinks>
  <pageMargins left="0.23622047244094491" right="0.23622047244094491" top="0.19685039370078741" bottom="0.15748031496062992" header="0" footer="0"/>
  <pageSetup paperSize="9" orientation="portrait" horizontalDpi="1200" verticalDpi="1200" r:id="rId3"/>
  <cellWatches>
    <cellWatch r="L7"/>
  </cellWatches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0"/>
  <sheetViews>
    <sheetView zoomScale="70" zoomScaleNormal="70" workbookViewId="0">
      <selection activeCell="B6" sqref="B6"/>
    </sheetView>
  </sheetViews>
  <sheetFormatPr baseColWidth="10" defaultRowHeight="15" x14ac:dyDescent="0.35"/>
  <cols>
    <col min="1" max="1" width="6.54296875" style="43" customWidth="1"/>
    <col min="2" max="2" width="73.08984375" style="43" customWidth="1"/>
    <col min="3" max="3" width="19.54296875" style="43" customWidth="1"/>
    <col min="4" max="4" width="14.1796875" style="43" customWidth="1"/>
    <col min="5" max="5" width="16.36328125" style="43" customWidth="1"/>
    <col min="6" max="6" width="17" style="43" customWidth="1"/>
    <col min="7" max="7" width="17.6328125" style="43" customWidth="1"/>
    <col min="8" max="8" width="16.81640625" style="43" customWidth="1"/>
    <col min="9" max="9" width="19.36328125" style="43" customWidth="1"/>
    <col min="10" max="10" width="6.6328125" style="43" customWidth="1"/>
    <col min="11" max="11" width="28" style="43" customWidth="1"/>
    <col min="12" max="12" width="17.6328125" style="43" customWidth="1"/>
    <col min="13" max="13" width="22.36328125" style="43" customWidth="1"/>
    <col min="14" max="14" width="16.54296875" style="43" customWidth="1"/>
    <col min="15" max="15" width="12.54296875" style="43" customWidth="1"/>
    <col min="16" max="16" width="34.6328125" style="43" customWidth="1"/>
    <col min="17" max="17" width="10.90625" style="43"/>
    <col min="18" max="18" width="20.08984375" style="43" customWidth="1"/>
    <col min="19" max="16384" width="10.90625" style="43"/>
  </cols>
  <sheetData>
    <row r="1" spans="1:21" ht="34" customHeight="1" x14ac:dyDescent="0.35">
      <c r="A1" s="66" t="s">
        <v>20</v>
      </c>
      <c r="B1" s="64" t="s">
        <v>19</v>
      </c>
      <c r="C1" s="64" t="s">
        <v>21</v>
      </c>
      <c r="D1" s="65" t="s">
        <v>22</v>
      </c>
      <c r="E1" s="65" t="s">
        <v>23</v>
      </c>
      <c r="F1" s="65" t="s">
        <v>24</v>
      </c>
      <c r="G1" s="64" t="s">
        <v>26</v>
      </c>
      <c r="H1" s="64" t="s">
        <v>48</v>
      </c>
      <c r="I1" s="42"/>
      <c r="K1" s="44" t="s">
        <v>14</v>
      </c>
      <c r="L1" s="43" t="s">
        <v>5</v>
      </c>
      <c r="M1" s="43" t="s">
        <v>6</v>
      </c>
      <c r="N1" s="42" t="s">
        <v>17</v>
      </c>
      <c r="O1" s="42" t="s">
        <v>18</v>
      </c>
      <c r="P1" s="42" t="s">
        <v>25</v>
      </c>
      <c r="R1" s="45" t="s">
        <v>47</v>
      </c>
    </row>
    <row r="2" spans="1:21" ht="40" customHeight="1" x14ac:dyDescent="0.35">
      <c r="A2" s="58">
        <v>0</v>
      </c>
      <c r="B2" s="59" t="s">
        <v>72</v>
      </c>
      <c r="C2" s="60">
        <f>IF(E_P_B!H2&gt;=900000,IF(E_P_B!H2&gt;=40000001,0,ROUNDUP((E_P_B!H2/900000)*9,1)), 1)</f>
        <v>0</v>
      </c>
      <c r="D2" s="61"/>
      <c r="E2" s="58" t="e">
        <f>ROUNDDOWN((G2/2)-0.4195*0.5*G2,1)</f>
        <v>#DIV/0!</v>
      </c>
      <c r="F2" s="58" t="e">
        <f>ROUNDUP((0.5*G2)-E2,1)</f>
        <v>#DIV/0!</v>
      </c>
      <c r="G2" s="62" t="e">
        <f>ROUNDUP((C2+C2)*2/SQRT(C2),2)</f>
        <v>#DIV/0!</v>
      </c>
      <c r="H2" s="63"/>
      <c r="I2" s="42"/>
      <c r="K2" s="44" t="s">
        <v>65</v>
      </c>
      <c r="L2" s="43">
        <v>2.41</v>
      </c>
      <c r="M2" s="43">
        <f>1.4</f>
        <v>1.4</v>
      </c>
      <c r="N2" s="42"/>
      <c r="O2" s="42"/>
      <c r="P2" s="42"/>
      <c r="R2" s="45" t="s">
        <v>29</v>
      </c>
      <c r="S2" s="46" t="s">
        <v>55</v>
      </c>
      <c r="T2" s="46" t="s">
        <v>56</v>
      </c>
      <c r="U2" s="47" t="s">
        <v>57</v>
      </c>
    </row>
    <row r="3" spans="1:21" ht="40" customHeight="1" x14ac:dyDescent="0.35">
      <c r="A3" s="42">
        <v>1</v>
      </c>
      <c r="B3" s="44" t="s">
        <v>61</v>
      </c>
      <c r="C3" s="42">
        <f>IF(C2&gt;=9,C2-H3+IF(IF(C4&lt;=1.4,C4,0),C2-C2),0)</f>
        <v>0</v>
      </c>
      <c r="D3" s="44"/>
      <c r="F3" s="44"/>
      <c r="G3" s="48"/>
      <c r="H3" s="42">
        <f>IF(C2&lt;=401,IF(C2&gt;=16,C2-10,IF(C2&gt;=9,C2-8,0)),IF(C2&gt;401,1,1))</f>
        <v>0</v>
      </c>
      <c r="I3" s="42" t="s">
        <v>49</v>
      </c>
      <c r="J3" s="42">
        <f>IF(C3&gt;=1.4,1,0)</f>
        <v>0</v>
      </c>
      <c r="K3" s="44" t="s">
        <v>2</v>
      </c>
      <c r="L3" s="43">
        <v>9.41</v>
      </c>
      <c r="M3" s="43">
        <f>1.569+0.162+1.566</f>
        <v>3.2969999999999997</v>
      </c>
      <c r="N3" s="43">
        <v>1</v>
      </c>
      <c r="O3" s="43">
        <v>1.5</v>
      </c>
      <c r="P3" s="43">
        <v>1.95</v>
      </c>
      <c r="R3" s="45" t="s">
        <v>30</v>
      </c>
      <c r="S3" s="42" t="e">
        <f>ROUNDDOWN((U3/2)-0.4495*0.5*U3,1)</f>
        <v>#DIV/0!</v>
      </c>
      <c r="T3" s="42" t="e">
        <f>ROUNDUP((0.5*U3)-S3,1)</f>
        <v>#DIV/0!</v>
      </c>
      <c r="U3" s="42" t="e">
        <f>ROUNDUP((C3+C3)*2/SQRT(C3),2)</f>
        <v>#DIV/0!</v>
      </c>
    </row>
    <row r="4" spans="1:21" ht="40" customHeight="1" x14ac:dyDescent="0.35">
      <c r="A4" s="42">
        <v>2</v>
      </c>
      <c r="B4" s="44" t="s">
        <v>28</v>
      </c>
      <c r="C4" s="42">
        <f>IF(H3&gt;=1.4,H3-H4,IF(C5&lt;=1.4,H3-H4+C5,0))</f>
        <v>0</v>
      </c>
      <c r="D4" s="44"/>
      <c r="F4" s="44"/>
      <c r="G4" s="44"/>
      <c r="H4" s="42">
        <f>IF(ROUNDUP(H3,0)&gt;=20,H3-18,(IF(ROUNDUP(H3,0)&gt;=16,H3-16,(IF(ROUNDUP(H3,0)&gt;=12,H3-12,(IF(ROUNDUP(H3,0)&gt;=9,H3-9,(IF(ROUNDUP(H3,0)&lt;=3,H3-H3)))))))))</f>
        <v>0</v>
      </c>
      <c r="I4" s="42" t="s">
        <v>31</v>
      </c>
      <c r="J4" s="42">
        <f t="shared" ref="J4:J14" si="0">IF(C4&gt;=1.4,1,0)</f>
        <v>0</v>
      </c>
      <c r="K4" s="44" t="s">
        <v>3</v>
      </c>
      <c r="L4" s="43">
        <v>7.8170000000000002</v>
      </c>
      <c r="M4" s="43">
        <f>2.96</f>
        <v>2.96</v>
      </c>
      <c r="N4" s="43">
        <v>1</v>
      </c>
      <c r="O4" s="43">
        <v>1.5</v>
      </c>
      <c r="P4" s="43">
        <v>1.95</v>
      </c>
      <c r="R4" s="45" t="s">
        <v>31</v>
      </c>
      <c r="S4" s="42" t="e">
        <f>ROUNDDOWN((U4/2)-0.4195*0.5*U4,1)</f>
        <v>#DIV/0!</v>
      </c>
      <c r="T4" s="42" t="e">
        <f>ROUNDUP((0.5*U4)-S4,1)</f>
        <v>#DIV/0!</v>
      </c>
      <c r="U4" s="42" t="e">
        <f>ROUNDUP((C4+C4)*2/SQRT(C4),2)</f>
        <v>#DIV/0!</v>
      </c>
    </row>
    <row r="5" spans="1:21" ht="40" customHeight="1" x14ac:dyDescent="0.35">
      <c r="A5" s="42">
        <v>3</v>
      </c>
      <c r="C5" s="42">
        <f>IF(H4&gt;=0,H4-H5,IF(C6&lt;=1.4,H4-H5+C6,0))</f>
        <v>0</v>
      </c>
      <c r="D5" s="49"/>
      <c r="E5" s="44"/>
      <c r="F5" s="44"/>
      <c r="G5" s="44"/>
      <c r="H5" s="42">
        <f>IF(ROUNDUP(H4,0)&gt;=12,H4-10,(IF(ROUNDUP(H4,0)&gt;=9,H4-8,(IF(ROUNDUP(H4,0)&gt;=8,H4-7,(IF(ROUNDUP(H4,0)&gt;=6,H4-5,(IF(ROUNDUP(H4,0)&lt;=3,H4-H4)))))))))</f>
        <v>0</v>
      </c>
      <c r="I5" s="42" t="s">
        <v>36</v>
      </c>
      <c r="J5" s="42">
        <f t="shared" si="0"/>
        <v>0</v>
      </c>
      <c r="K5" s="44" t="s">
        <v>4</v>
      </c>
      <c r="L5" s="43">
        <v>15.379</v>
      </c>
      <c r="M5" s="43">
        <v>4.6559999999999997</v>
      </c>
      <c r="N5" s="43">
        <v>1</v>
      </c>
      <c r="O5" s="43">
        <v>1.5</v>
      </c>
      <c r="P5" s="43">
        <v>1.95</v>
      </c>
      <c r="R5" s="45" t="s">
        <v>32</v>
      </c>
      <c r="S5" s="42" t="e">
        <f>ROUNDDOWN((U5/2)-0.4895*0.5*U5,1)</f>
        <v>#DIV/0!</v>
      </c>
      <c r="T5" s="42" t="e">
        <f t="shared" ref="T5:T14" si="1">ROUNDUP((0.5*U5)-S5,1)</f>
        <v>#DIV/0!</v>
      </c>
      <c r="U5" s="42" t="e">
        <f t="shared" ref="U5:U14" si="2">ROUNDUP((C5+C5)*2/SQRT(C5),2)</f>
        <v>#DIV/0!</v>
      </c>
    </row>
    <row r="6" spans="1:21" ht="40" customHeight="1" x14ac:dyDescent="0.35">
      <c r="A6" s="42">
        <v>4</v>
      </c>
      <c r="C6" s="42">
        <f t="shared" ref="C6:C14" si="3">IF(H5&gt;=0,H5-H6,IF(C7&lt;=1.4,H5-H6+C7,0))</f>
        <v>0</v>
      </c>
      <c r="D6" s="49"/>
      <c r="E6" s="44"/>
      <c r="F6" s="44"/>
      <c r="G6" s="44"/>
      <c r="H6" s="42">
        <f>IF(ROUNDUP(H5,0)&gt;=16,H5-16,(IF(ROUNDUP(H5,0)&gt;=14,H5-13,(IF(ROUNDUP(H5,0)&gt;=12,H5-12,(IF(ROUNDUP(H5,0)&gt;=10,H5-10,(IF(ROUNDUP(H5,0)&lt;=9,H5-H5)))))))))</f>
        <v>0</v>
      </c>
      <c r="I6" s="42" t="s">
        <v>51</v>
      </c>
      <c r="J6" s="42">
        <f t="shared" si="0"/>
        <v>0</v>
      </c>
      <c r="K6" s="44" t="s">
        <v>7</v>
      </c>
      <c r="L6" s="43">
        <v>3.7389999999999999</v>
      </c>
      <c r="M6" s="43">
        <v>1.21</v>
      </c>
      <c r="N6" s="43">
        <v>1</v>
      </c>
      <c r="O6" s="43">
        <v>1.5</v>
      </c>
      <c r="P6" s="43">
        <v>1.95</v>
      </c>
      <c r="R6" s="45" t="s">
        <v>33</v>
      </c>
      <c r="S6" s="42" t="e">
        <f t="shared" ref="S6:S14" si="4">ROUNDDOWN((U6/2)-0.4195*0.5*U6,1)</f>
        <v>#DIV/0!</v>
      </c>
      <c r="T6" s="42" t="e">
        <f t="shared" si="1"/>
        <v>#DIV/0!</v>
      </c>
      <c r="U6" s="42" t="e">
        <f t="shared" si="2"/>
        <v>#DIV/0!</v>
      </c>
    </row>
    <row r="7" spans="1:21" ht="40" customHeight="1" x14ac:dyDescent="0.35">
      <c r="A7" s="42">
        <v>5</v>
      </c>
      <c r="B7" s="44"/>
      <c r="C7" s="42">
        <f t="shared" si="3"/>
        <v>0</v>
      </c>
      <c r="D7" s="49"/>
      <c r="E7" s="44"/>
      <c r="F7" s="44"/>
      <c r="G7" s="44"/>
      <c r="H7" s="42">
        <f>IF(ROUNDUP(H6,0)&gt;=8,H6-8,(IF(ROUNDUP(H6,0)&gt;=7,H6-6,(IF(ROUNDUP(H6,0)&gt;=4,H6-3.5,(IF(ROUNDUP(H6,0)&gt;=4,H6-2,(IF(ROUNDUP(H6,0)&lt;=1.5,H6-H6)))))))))</f>
        <v>0</v>
      </c>
      <c r="I7" s="42" t="s">
        <v>50</v>
      </c>
      <c r="J7" s="42">
        <f t="shared" si="0"/>
        <v>0</v>
      </c>
      <c r="K7" s="44" t="s">
        <v>67</v>
      </c>
      <c r="L7" s="43">
        <v>3.782</v>
      </c>
      <c r="M7" s="43">
        <v>1.756</v>
      </c>
      <c r="N7" s="43">
        <v>1</v>
      </c>
      <c r="O7" s="43">
        <v>1.5</v>
      </c>
      <c r="P7" s="43">
        <v>1.95</v>
      </c>
      <c r="R7" s="45" t="s">
        <v>34</v>
      </c>
      <c r="S7" s="42" t="e">
        <f t="shared" si="4"/>
        <v>#DIV/0!</v>
      </c>
      <c r="T7" s="42" t="e">
        <f t="shared" si="1"/>
        <v>#DIV/0!</v>
      </c>
      <c r="U7" s="42" t="e">
        <f t="shared" si="2"/>
        <v>#DIV/0!</v>
      </c>
    </row>
    <row r="8" spans="1:21" ht="40" customHeight="1" x14ac:dyDescent="0.35">
      <c r="A8" s="42">
        <v>6</v>
      </c>
      <c r="B8" s="44" t="s">
        <v>63</v>
      </c>
      <c r="C8" s="42">
        <f t="shared" si="3"/>
        <v>0</v>
      </c>
      <c r="D8" s="49"/>
      <c r="E8" s="44"/>
      <c r="F8" s="44"/>
      <c r="G8" s="44"/>
      <c r="H8" s="42">
        <f>IF(ROUNDUP(H7,0)&gt;=14,H7-10,(IF(ROUNDUP(H7,0)&gt;=12,H7-9,(IF(ROUNDUP(H7,0)&gt;=9,H7-8,(IF(ROUNDUP(H7,0)&gt;=7,H7-6,(IF(ROUNDUP(H7,0)&lt;=5,H7-H7)))))))))</f>
        <v>0</v>
      </c>
      <c r="I8" s="42" t="s">
        <v>46</v>
      </c>
      <c r="J8" s="42">
        <f t="shared" si="0"/>
        <v>0</v>
      </c>
      <c r="K8" s="44" t="s">
        <v>66</v>
      </c>
      <c r="L8" s="43">
        <v>9.7829999999999995</v>
      </c>
      <c r="M8" s="43">
        <v>1.786</v>
      </c>
      <c r="N8" s="43">
        <v>1</v>
      </c>
      <c r="O8" s="43">
        <v>1.5</v>
      </c>
      <c r="P8" s="43">
        <v>1.95</v>
      </c>
      <c r="R8" s="45" t="s">
        <v>35</v>
      </c>
      <c r="S8" s="42" t="e">
        <f>ROUNDDOWN((U8/2)-0.4495*0.5*U8,1)</f>
        <v>#DIV/0!</v>
      </c>
      <c r="T8" s="42" t="e">
        <f t="shared" si="1"/>
        <v>#DIV/0!</v>
      </c>
      <c r="U8" s="42" t="e">
        <f t="shared" si="2"/>
        <v>#DIV/0!</v>
      </c>
    </row>
    <row r="9" spans="1:21" ht="40" customHeight="1" x14ac:dyDescent="0.35">
      <c r="A9" s="42">
        <v>7</v>
      </c>
      <c r="B9" s="44" t="s">
        <v>62</v>
      </c>
      <c r="C9" s="42">
        <f t="shared" si="3"/>
        <v>0</v>
      </c>
      <c r="D9" s="49"/>
      <c r="E9" s="44"/>
      <c r="F9" s="44"/>
      <c r="G9" s="44"/>
      <c r="H9" s="42">
        <f>IF(ROUNDUP(H8,0)&gt;=10,H8-10,(IF(ROUNDUP(H8,0)&gt;=9,H8-9,(IF(ROUNDUP(H8,0)&gt;=8,H8-8,(IF(ROUNDUP(H8,0)&gt;=7,H8-6,(IF(ROUNDUP(H8,0)&lt;=6,H8-H8)))))))))</f>
        <v>0</v>
      </c>
      <c r="I9" s="42" t="s">
        <v>49</v>
      </c>
      <c r="J9" s="42">
        <f t="shared" si="0"/>
        <v>0</v>
      </c>
      <c r="K9" s="44" t="s">
        <v>8</v>
      </c>
      <c r="L9" s="43">
        <v>9.2330000000000005</v>
      </c>
      <c r="M9" s="43">
        <v>1.8859999999999999</v>
      </c>
      <c r="N9" s="43">
        <v>1</v>
      </c>
      <c r="O9" s="43">
        <v>1.5</v>
      </c>
      <c r="P9" s="43">
        <v>1.95</v>
      </c>
      <c r="R9" s="45" t="s">
        <v>36</v>
      </c>
      <c r="S9" s="42" t="e">
        <f>ROUNDDOWN((U9/2)-0.45*0.5*U9,1)</f>
        <v>#DIV/0!</v>
      </c>
      <c r="T9" s="42" t="e">
        <f t="shared" si="1"/>
        <v>#DIV/0!</v>
      </c>
      <c r="U9" s="42" t="e">
        <f t="shared" si="2"/>
        <v>#DIV/0!</v>
      </c>
    </row>
    <row r="10" spans="1:21" ht="35.5" customHeight="1" x14ac:dyDescent="0.35">
      <c r="A10" s="42">
        <v>8</v>
      </c>
      <c r="C10" s="42">
        <f t="shared" si="3"/>
        <v>0</v>
      </c>
      <c r="D10" s="49"/>
      <c r="E10" s="44"/>
      <c r="F10" s="44"/>
      <c r="G10" s="44"/>
      <c r="H10" s="42">
        <f>IF(ROUNDUP(H9,0)&gt;=8,H9-8,(IF(ROUNDUP(H9,0)&gt;=7,H9-6,(IF(ROUNDUP(H9,0)&gt;=4,H9-3.5,(IF(ROUNDUP(H9,0)&gt;=4,H9-2,(IF(ROUNDUP(H9,0)&lt;=1.5,H9-H9)))))))))</f>
        <v>0</v>
      </c>
      <c r="I10" s="42" t="s">
        <v>50</v>
      </c>
      <c r="J10" s="42">
        <f t="shared" si="0"/>
        <v>0</v>
      </c>
      <c r="K10" s="44" t="s">
        <v>9</v>
      </c>
      <c r="L10" s="43">
        <v>4.4989999999999997</v>
      </c>
      <c r="M10" s="43">
        <v>0.75600000000000001</v>
      </c>
      <c r="N10" s="43">
        <v>1</v>
      </c>
      <c r="O10" s="43">
        <v>1.5</v>
      </c>
      <c r="P10" s="43">
        <v>1.95</v>
      </c>
      <c r="R10" s="45" t="s">
        <v>37</v>
      </c>
      <c r="S10" s="42" t="e">
        <f t="shared" si="4"/>
        <v>#DIV/0!</v>
      </c>
      <c r="T10" s="42" t="e">
        <f t="shared" si="1"/>
        <v>#DIV/0!</v>
      </c>
      <c r="U10" s="42" t="e">
        <f t="shared" si="2"/>
        <v>#DIV/0!</v>
      </c>
    </row>
    <row r="11" spans="1:21" ht="34.5" customHeight="1" x14ac:dyDescent="0.35">
      <c r="A11" s="42">
        <v>9</v>
      </c>
      <c r="B11" s="44"/>
      <c r="C11" s="42">
        <f t="shared" si="3"/>
        <v>0</v>
      </c>
      <c r="D11" s="49"/>
      <c r="E11" s="44"/>
      <c r="F11" s="44"/>
      <c r="G11" s="44"/>
      <c r="H11" s="42">
        <f>IF(ROUNDUP(H10,0)&gt;=10,H10-10,(IF(ROUNDUP(H10,0)&gt;=9,H10-9,(IF(ROUNDUP(H10,0)&gt;=8,H10-8,(IF(ROUNDUP(H10,0)&gt;=7,H10-7,(IF(ROUNDUP(H10,0)&lt;=6,H10-H10)))))))))</f>
        <v>0</v>
      </c>
      <c r="I11" s="42" t="s">
        <v>52</v>
      </c>
      <c r="J11" s="42">
        <f t="shared" si="0"/>
        <v>0</v>
      </c>
      <c r="K11" s="44" t="s">
        <v>10</v>
      </c>
      <c r="L11" s="43">
        <v>4.6429999999999998</v>
      </c>
      <c r="M11" s="43">
        <v>2.3559999999999999</v>
      </c>
      <c r="N11" s="43">
        <v>1</v>
      </c>
      <c r="O11" s="43">
        <v>1.5</v>
      </c>
      <c r="P11" s="43">
        <v>1.95</v>
      </c>
      <c r="R11" s="45" t="s">
        <v>38</v>
      </c>
      <c r="S11" s="42" t="e">
        <f>ROUNDDOWN((U11/2)-0.4495*0.5*U11,1)</f>
        <v>#DIV/0!</v>
      </c>
      <c r="T11" s="42" t="e">
        <f t="shared" si="1"/>
        <v>#DIV/0!</v>
      </c>
      <c r="U11" s="42" t="e">
        <f t="shared" si="2"/>
        <v>#DIV/0!</v>
      </c>
    </row>
    <row r="12" spans="1:21" ht="40" customHeight="1" x14ac:dyDescent="0.35">
      <c r="A12" s="42">
        <v>10</v>
      </c>
      <c r="B12" s="44"/>
      <c r="C12" s="42">
        <f t="shared" si="3"/>
        <v>0</v>
      </c>
      <c r="D12" s="49"/>
      <c r="E12" s="44"/>
      <c r="F12" s="44"/>
      <c r="G12" s="44"/>
      <c r="H12" s="42">
        <f>IF(ROUNDUP(H11,0)&gt;=8,H11-8,(IF(ROUNDUP(H11,0)&gt;=7,H11-6,(IF(ROUNDUP(H11,0)&gt;=4,H11-3.5,(IF(ROUNDUP(H11,0)&gt;=3,H11-3,(IF(ROUNDUP(H11,0)&lt;=3,H11-H11)))))))))</f>
        <v>0</v>
      </c>
      <c r="I12" s="42" t="s">
        <v>43</v>
      </c>
      <c r="J12" s="42">
        <f t="shared" si="0"/>
        <v>0</v>
      </c>
      <c r="K12" s="44" t="s">
        <v>11</v>
      </c>
      <c r="L12" s="50">
        <f>L14-L13</f>
        <v>3.91</v>
      </c>
      <c r="M12" s="43">
        <v>1.1599999999999999</v>
      </c>
      <c r="N12" s="43">
        <v>1</v>
      </c>
      <c r="O12" s="43">
        <v>1.5</v>
      </c>
      <c r="P12" s="43">
        <v>1.95</v>
      </c>
      <c r="R12" s="45" t="s">
        <v>39</v>
      </c>
      <c r="S12" s="42" t="e">
        <f t="shared" si="4"/>
        <v>#DIV/0!</v>
      </c>
      <c r="T12" s="42" t="e">
        <f t="shared" si="1"/>
        <v>#DIV/0!</v>
      </c>
      <c r="U12" s="42" t="e">
        <f t="shared" si="2"/>
        <v>#DIV/0!</v>
      </c>
    </row>
    <row r="13" spans="1:21" ht="40" customHeight="1" x14ac:dyDescent="0.35">
      <c r="A13" s="42">
        <v>11</v>
      </c>
      <c r="B13" s="44"/>
      <c r="C13" s="42">
        <f t="shared" si="3"/>
        <v>0</v>
      </c>
      <c r="D13" s="49"/>
      <c r="E13" s="44"/>
      <c r="F13" s="44"/>
      <c r="G13" s="44"/>
      <c r="H13" s="42">
        <f>IF(ROUNDUP(H12,0)&gt;=10,H12-10,(IF(ROUNDUP(H12,0)&gt;=9,H12-9,(IF(ROUNDUP(H12,0)&gt;=8,H12-8,(IF(ROUNDUP(H12,0)&gt;=7,H12-7,(IF(ROUNDUP(H12,0)&lt;=6,H12-H12)))))))))</f>
        <v>0</v>
      </c>
      <c r="I13" s="42" t="s">
        <v>44</v>
      </c>
      <c r="J13" s="42">
        <f t="shared" si="0"/>
        <v>0</v>
      </c>
      <c r="K13" s="44" t="s">
        <v>12</v>
      </c>
      <c r="L13" s="43">
        <v>26.157</v>
      </c>
      <c r="N13" s="43">
        <v>1</v>
      </c>
      <c r="O13" s="43">
        <v>1.5</v>
      </c>
      <c r="P13" s="43">
        <v>1.95</v>
      </c>
      <c r="R13" s="45" t="s">
        <v>40</v>
      </c>
      <c r="S13" s="42" t="e">
        <f t="shared" si="4"/>
        <v>#DIV/0!</v>
      </c>
      <c r="T13" s="42" t="e">
        <f t="shared" si="1"/>
        <v>#DIV/0!</v>
      </c>
      <c r="U13" s="42" t="e">
        <f t="shared" si="2"/>
        <v>#DIV/0!</v>
      </c>
    </row>
    <row r="14" spans="1:21" ht="42" customHeight="1" thickBot="1" x14ac:dyDescent="0.4">
      <c r="A14" s="42">
        <v>12</v>
      </c>
      <c r="C14" s="42">
        <f t="shared" si="3"/>
        <v>0</v>
      </c>
      <c r="E14" s="42"/>
      <c r="H14" s="42">
        <f>IF(ROUNDUP(H13,0)&gt;=12,H13-12,(IF(ROUNDUP(H13,0)&gt;=10,H13-10,(IF(ROUNDUP(H13,0)&gt;=9,H13-9,(IF(ROUNDUP(H13,0)&gt;=6,H13-6,(IF(ROUNDUP(H13,0)&lt;=3,H13-H13)))))))))</f>
        <v>0</v>
      </c>
      <c r="I14" s="42" t="s">
        <v>54</v>
      </c>
      <c r="J14" s="42">
        <f t="shared" si="0"/>
        <v>0</v>
      </c>
      <c r="K14" s="44"/>
      <c r="L14" s="43">
        <v>30.067</v>
      </c>
      <c r="N14" s="43">
        <v>1</v>
      </c>
      <c r="O14" s="43">
        <v>1.5</v>
      </c>
      <c r="P14" s="43">
        <v>1.95</v>
      </c>
      <c r="R14" s="45" t="s">
        <v>41</v>
      </c>
      <c r="S14" s="42" t="e">
        <f t="shared" si="4"/>
        <v>#DIV/0!</v>
      </c>
      <c r="T14" s="42" t="e">
        <f t="shared" si="1"/>
        <v>#DIV/0!</v>
      </c>
      <c r="U14" s="42" t="e">
        <f t="shared" si="2"/>
        <v>#DIV/0!</v>
      </c>
    </row>
    <row r="15" spans="1:21" ht="40" customHeight="1" thickTop="1" thickBot="1" x14ac:dyDescent="0.4">
      <c r="A15" s="42">
        <v>13</v>
      </c>
      <c r="B15" s="44"/>
      <c r="C15" s="51">
        <f>(C2-SUM(C3:C14))</f>
        <v>0</v>
      </c>
      <c r="D15" s="52">
        <f>C2</f>
        <v>0</v>
      </c>
      <c r="E15" s="52" t="e">
        <f>ROUNDUP(C2/D15,4)</f>
        <v>#DIV/0!</v>
      </c>
      <c r="F15" s="52">
        <f>E_P_B!H2-G15</f>
        <v>45000000</v>
      </c>
      <c r="G15" s="53">
        <f>(F17*900000)/9</f>
        <v>0</v>
      </c>
      <c r="H15" s="42"/>
      <c r="I15" s="54" t="s">
        <v>53</v>
      </c>
      <c r="J15" s="42">
        <f>SUM(J3:J14)</f>
        <v>0</v>
      </c>
      <c r="K15" s="44" t="s">
        <v>13</v>
      </c>
      <c r="L15" s="43">
        <f>SUM(L3:L12)</f>
        <v>72.194999999999993</v>
      </c>
      <c r="M15" s="43">
        <f>SUM(M3:M12)</f>
        <v>21.823000000000004</v>
      </c>
      <c r="N15" s="43">
        <v>1</v>
      </c>
      <c r="O15" s="43">
        <v>1.5</v>
      </c>
      <c r="P15" s="43">
        <v>1.95</v>
      </c>
      <c r="R15" s="45" t="s">
        <v>42</v>
      </c>
    </row>
    <row r="16" spans="1:21" ht="40" customHeight="1" thickTop="1" x14ac:dyDescent="0.35">
      <c r="A16" s="42">
        <v>14</v>
      </c>
      <c r="B16" s="42" t="s">
        <v>69</v>
      </c>
      <c r="C16" s="52">
        <f>IF(C15&gt;=18,IF(C15&gt;130,(130)*38000,ROUNDUP(9*F15/1100000,1)*38000),0)</f>
        <v>0</v>
      </c>
      <c r="D16" s="52">
        <f>F15-C16</f>
        <v>45000000</v>
      </c>
      <c r="E16" s="42" t="s">
        <v>53</v>
      </c>
      <c r="F16" s="42">
        <f>ROUNDUP(9*D16/1100000,1)</f>
        <v>368.20000000000005</v>
      </c>
      <c r="G16" s="55">
        <f>IF(F16&gt;130,(130)*1100000/9,F16*1100000/9)</f>
        <v>15888888.888888888</v>
      </c>
      <c r="H16" s="42"/>
      <c r="K16" s="44" t="s">
        <v>16</v>
      </c>
      <c r="L16" s="43">
        <f>ROUNDUP(M17*0.72195,3)</f>
        <v>4.319</v>
      </c>
      <c r="M16" s="43">
        <f>M17-L16</f>
        <v>1.6629999999999994</v>
      </c>
      <c r="N16" s="43">
        <v>1</v>
      </c>
      <c r="O16" s="43">
        <v>1.5</v>
      </c>
      <c r="P16" s="43">
        <v>1.95</v>
      </c>
      <c r="R16" s="45" t="s">
        <v>43</v>
      </c>
    </row>
    <row r="17" spans="1:18" ht="40" customHeight="1" x14ac:dyDescent="0.35">
      <c r="A17" s="42">
        <v>15</v>
      </c>
      <c r="B17" s="42" t="s">
        <v>70</v>
      </c>
      <c r="C17" s="42">
        <f>IF(F16&gt;=150,(F18)*42000,0)</f>
        <v>10004400.000000002</v>
      </c>
      <c r="D17" s="49"/>
      <c r="E17" s="42" t="s">
        <v>68</v>
      </c>
      <c r="F17" s="42">
        <f>SUM(C3:C14)</f>
        <v>0</v>
      </c>
      <c r="G17" s="56"/>
      <c r="H17" s="42"/>
      <c r="K17" s="44" t="s">
        <v>15</v>
      </c>
      <c r="L17" s="43">
        <f>L15+M15</f>
        <v>94.018000000000001</v>
      </c>
      <c r="M17" s="43">
        <f>100-L17</f>
        <v>5.9819999999999993</v>
      </c>
      <c r="N17" s="43">
        <v>1</v>
      </c>
      <c r="O17" s="43">
        <v>1.5</v>
      </c>
      <c r="P17" s="43">
        <v>1.95</v>
      </c>
      <c r="R17" s="45" t="s">
        <v>44</v>
      </c>
    </row>
    <row r="18" spans="1:18" ht="67.5" customHeight="1" x14ac:dyDescent="0.35">
      <c r="A18" s="42">
        <v>16</v>
      </c>
      <c r="B18" s="44" t="s">
        <v>60</v>
      </c>
      <c r="C18" s="44" t="s">
        <v>64</v>
      </c>
      <c r="D18" s="49"/>
      <c r="E18" s="44"/>
      <c r="F18" s="42">
        <f>IF(F16&gt;=150,(F16-130),0)</f>
        <v>238.20000000000005</v>
      </c>
      <c r="G18" s="55">
        <f>ROUNDUP(IF(F16&gt;=150, (D16-(G16+C17)),0),0)</f>
        <v>19106712</v>
      </c>
      <c r="H18" s="42"/>
      <c r="K18" s="44"/>
      <c r="N18" s="43">
        <f>M16+M17</f>
        <v>7.6449999999999987</v>
      </c>
      <c r="R18" s="45" t="s">
        <v>45</v>
      </c>
    </row>
    <row r="19" spans="1:18" ht="40" customHeight="1" x14ac:dyDescent="0.35">
      <c r="A19" s="42">
        <v>17</v>
      </c>
      <c r="B19" s="44"/>
      <c r="C19" s="44"/>
      <c r="D19" s="49"/>
      <c r="E19" s="44"/>
      <c r="F19" s="42">
        <f>IF(G19&gt;1100000,ROUNDUP(G19*9/1100000,1),0)</f>
        <v>74.5</v>
      </c>
      <c r="G19" s="55">
        <f>G18-C17</f>
        <v>9102311.9999999981</v>
      </c>
      <c r="H19" s="42"/>
      <c r="K19" s="44"/>
      <c r="R19" s="45" t="s">
        <v>46</v>
      </c>
    </row>
    <row r="20" spans="1:18" ht="40" customHeight="1" x14ac:dyDescent="0.35">
      <c r="A20" s="42">
        <v>18</v>
      </c>
      <c r="B20" s="44"/>
      <c r="C20" s="44"/>
      <c r="D20" s="49"/>
      <c r="E20" s="44"/>
      <c r="F20" s="44"/>
      <c r="G20" s="44"/>
      <c r="H20" s="42"/>
      <c r="I20" s="44"/>
    </row>
    <row r="21" spans="1:18" ht="35" customHeight="1" x14ac:dyDescent="0.35">
      <c r="A21" s="44"/>
      <c r="B21" s="44"/>
      <c r="C21" s="44"/>
      <c r="D21" s="49"/>
      <c r="E21" s="44"/>
      <c r="F21" s="44"/>
      <c r="G21" s="44"/>
      <c r="H21" s="42"/>
      <c r="I21" s="44"/>
    </row>
    <row r="22" spans="1:18" ht="37.5" customHeight="1" x14ac:dyDescent="0.35">
      <c r="A22" s="44"/>
      <c r="B22" s="44"/>
      <c r="C22" s="44"/>
      <c r="D22" s="49"/>
      <c r="E22" s="44"/>
      <c r="F22" s="44"/>
      <c r="G22" s="44"/>
      <c r="H22" s="42"/>
      <c r="I22" s="44"/>
    </row>
    <row r="23" spans="1:18" ht="37" customHeight="1" x14ac:dyDescent="0.35">
      <c r="A23" s="44"/>
      <c r="B23" s="44"/>
      <c r="C23" s="44"/>
      <c r="D23" s="49"/>
      <c r="E23" s="44"/>
      <c r="F23" s="44"/>
      <c r="G23" s="44"/>
      <c r="H23" s="42"/>
      <c r="I23" s="44"/>
    </row>
    <row r="24" spans="1:18" ht="38" customHeight="1" x14ac:dyDescent="0.35">
      <c r="A24" s="44"/>
      <c r="B24" s="44"/>
      <c r="C24" s="44"/>
      <c r="D24" s="49"/>
      <c r="E24" s="44"/>
      <c r="F24" s="44"/>
      <c r="G24" s="44"/>
      <c r="H24" s="42"/>
      <c r="I24" s="44"/>
    </row>
    <row r="25" spans="1:18" ht="36.5" customHeight="1" x14ac:dyDescent="0.35">
      <c r="A25" s="44"/>
      <c r="B25" s="44"/>
      <c r="C25" s="44"/>
      <c r="D25" s="49"/>
      <c r="E25" s="44"/>
      <c r="F25" s="44"/>
      <c r="G25" s="44"/>
      <c r="H25" s="42"/>
      <c r="I25" s="44"/>
    </row>
    <row r="26" spans="1:18" ht="54" customHeight="1" x14ac:dyDescent="0.35">
      <c r="A26" s="44"/>
      <c r="B26" s="44"/>
      <c r="C26" s="44"/>
      <c r="D26" s="49"/>
      <c r="E26" s="44"/>
      <c r="F26" s="44"/>
      <c r="G26" s="44"/>
      <c r="H26" s="42"/>
      <c r="I26" s="44"/>
    </row>
    <row r="27" spans="1:18" ht="52.5" customHeight="1" x14ac:dyDescent="0.35">
      <c r="A27" s="44"/>
      <c r="B27" s="44"/>
      <c r="C27" s="44"/>
      <c r="D27" s="49"/>
      <c r="E27" s="44"/>
      <c r="F27" s="44"/>
      <c r="G27" s="44"/>
      <c r="H27" s="42"/>
      <c r="I27" s="44"/>
    </row>
    <row r="28" spans="1:18" ht="61" customHeight="1" x14ac:dyDescent="0.35">
      <c r="A28" s="44"/>
      <c r="B28" s="44"/>
      <c r="C28" s="44"/>
      <c r="D28" s="49"/>
      <c r="E28" s="44"/>
      <c r="F28" s="44"/>
      <c r="G28" s="44"/>
      <c r="H28" s="42"/>
      <c r="I28" s="44"/>
    </row>
    <row r="29" spans="1:18" ht="139.5" customHeight="1" x14ac:dyDescent="0.35">
      <c r="A29" s="44"/>
      <c r="B29" s="44"/>
      <c r="C29" s="44"/>
      <c r="D29" s="49"/>
      <c r="E29" s="44"/>
      <c r="F29" s="44"/>
      <c r="G29" s="44"/>
      <c r="H29" s="44"/>
      <c r="I29" s="44"/>
    </row>
    <row r="30" spans="1:18" ht="186" customHeight="1" x14ac:dyDescent="0.35">
      <c r="A30" s="44"/>
      <c r="B30" s="44"/>
      <c r="C30" s="44"/>
      <c r="D30" s="49"/>
      <c r="E30" s="44"/>
      <c r="F30" s="44"/>
      <c r="G30" s="44"/>
      <c r="H30" s="44"/>
      <c r="I30" s="44"/>
    </row>
    <row r="31" spans="1:18" x14ac:dyDescent="0.35">
      <c r="A31" s="44"/>
      <c r="B31" s="44"/>
      <c r="C31" s="44"/>
      <c r="D31" s="49"/>
      <c r="E31" s="44"/>
      <c r="F31" s="44"/>
      <c r="G31" s="44"/>
      <c r="H31" s="44"/>
      <c r="I31" s="44"/>
    </row>
    <row r="32" spans="1:18" ht="15.5" customHeight="1" x14ac:dyDescent="0.35">
      <c r="A32" s="44"/>
      <c r="B32" s="44"/>
      <c r="C32" s="44"/>
      <c r="D32" s="49"/>
      <c r="E32" s="44"/>
      <c r="F32" s="44"/>
      <c r="G32" s="44"/>
      <c r="H32" s="44"/>
      <c r="I32" s="44"/>
    </row>
    <row r="33" spans="1:9" ht="62" customHeight="1" x14ac:dyDescent="0.35">
      <c r="A33" s="44"/>
      <c r="B33" s="44"/>
      <c r="C33" s="44"/>
      <c r="D33" s="49"/>
      <c r="E33" s="44"/>
      <c r="F33" s="44"/>
      <c r="G33" s="44"/>
      <c r="H33" s="44"/>
      <c r="I33" s="44"/>
    </row>
    <row r="34" spans="1:9" ht="15.5" customHeight="1" x14ac:dyDescent="0.35">
      <c r="A34" s="44"/>
      <c r="B34" s="44"/>
      <c r="C34" s="44"/>
      <c r="D34" s="49"/>
      <c r="E34" s="44"/>
      <c r="F34" s="44"/>
      <c r="G34" s="44"/>
      <c r="H34" s="44"/>
      <c r="I34" s="44"/>
    </row>
    <row r="35" spans="1:9" ht="15.5" customHeight="1" x14ac:dyDescent="0.35">
      <c r="A35" s="44"/>
      <c r="B35" s="44"/>
      <c r="C35" s="44"/>
      <c r="D35" s="49"/>
      <c r="E35" s="44"/>
      <c r="F35" s="44"/>
      <c r="G35" s="44"/>
      <c r="H35" s="44"/>
      <c r="I35" s="44"/>
    </row>
    <row r="36" spans="1:9" ht="124" customHeight="1" x14ac:dyDescent="0.35">
      <c r="A36" s="44"/>
      <c r="B36" s="44"/>
      <c r="C36" s="44"/>
      <c r="D36" s="49"/>
      <c r="E36" s="44"/>
      <c r="F36" s="44"/>
      <c r="G36" s="44"/>
      <c r="H36" s="44"/>
      <c r="I36" s="44"/>
    </row>
    <row r="37" spans="1:9" ht="201.5" customHeight="1" x14ac:dyDescent="0.35">
      <c r="A37" s="44"/>
      <c r="B37" s="44"/>
      <c r="C37" s="44"/>
      <c r="D37" s="49"/>
      <c r="E37" s="44"/>
      <c r="F37" s="44"/>
      <c r="G37" s="44"/>
      <c r="H37" s="44"/>
      <c r="I37" s="44"/>
    </row>
    <row r="38" spans="1:9" ht="93" customHeight="1" x14ac:dyDescent="0.35">
      <c r="A38" s="44"/>
      <c r="B38" s="44"/>
      <c r="C38" s="44"/>
      <c r="D38" s="49"/>
      <c r="E38" s="44"/>
      <c r="F38" s="44"/>
      <c r="G38" s="44"/>
      <c r="H38" s="44"/>
      <c r="I38" s="44"/>
    </row>
    <row r="39" spans="1:9" ht="15.5" customHeight="1" x14ac:dyDescent="0.35">
      <c r="A39" s="44"/>
      <c r="B39" s="44"/>
      <c r="C39" s="44"/>
      <c r="D39" s="49"/>
      <c r="E39" s="44"/>
      <c r="F39" s="44"/>
      <c r="G39" s="44"/>
      <c r="H39" s="44"/>
      <c r="I39" s="44"/>
    </row>
    <row r="40" spans="1:9" x14ac:dyDescent="0.35">
      <c r="A40" s="44"/>
      <c r="B40" s="44"/>
      <c r="C40" s="44"/>
      <c r="D40" s="49"/>
      <c r="E40" s="44"/>
      <c r="F40" s="44"/>
      <c r="G40" s="44"/>
      <c r="H40" s="44"/>
      <c r="I40" s="44"/>
    </row>
    <row r="41" spans="1:9" ht="15.5" customHeight="1" x14ac:dyDescent="0.35">
      <c r="A41" s="44"/>
      <c r="B41" s="44"/>
      <c r="C41" s="44"/>
      <c r="D41" s="49"/>
      <c r="E41" s="44"/>
      <c r="F41" s="44"/>
      <c r="G41" s="44"/>
      <c r="H41" s="44"/>
      <c r="I41" s="44"/>
    </row>
    <row r="42" spans="1:9" ht="15.5" customHeight="1" x14ac:dyDescent="0.35">
      <c r="A42" s="44"/>
      <c r="B42" s="44"/>
      <c r="C42" s="44"/>
      <c r="D42" s="49"/>
      <c r="E42" s="44"/>
      <c r="F42" s="44"/>
      <c r="G42" s="44"/>
      <c r="H42" s="44"/>
      <c r="I42" s="44"/>
    </row>
    <row r="43" spans="1:9" x14ac:dyDescent="0.35">
      <c r="A43" s="44"/>
      <c r="B43" s="44"/>
      <c r="C43" s="44"/>
      <c r="D43" s="49"/>
      <c r="E43" s="44"/>
      <c r="F43" s="44"/>
      <c r="G43" s="44"/>
      <c r="H43" s="44"/>
      <c r="I43" s="44"/>
    </row>
    <row r="44" spans="1:9" x14ac:dyDescent="0.35">
      <c r="A44" s="44"/>
      <c r="B44" s="44"/>
      <c r="C44" s="44"/>
      <c r="D44" s="49"/>
      <c r="E44" s="44"/>
      <c r="F44" s="44"/>
      <c r="G44" s="44"/>
      <c r="H44" s="44"/>
      <c r="I44" s="44"/>
    </row>
    <row r="45" spans="1:9" ht="15.5" customHeight="1" x14ac:dyDescent="0.35">
      <c r="A45" s="44"/>
      <c r="B45" s="44"/>
      <c r="C45" s="44"/>
      <c r="D45" s="49"/>
      <c r="E45" s="44"/>
      <c r="F45" s="44"/>
      <c r="G45" s="44"/>
      <c r="H45" s="44"/>
      <c r="I45" s="44"/>
    </row>
    <row r="46" spans="1:9" ht="15.5" customHeight="1" x14ac:dyDescent="0.35">
      <c r="A46" s="44"/>
      <c r="B46" s="44"/>
      <c r="C46" s="44"/>
      <c r="D46" s="49"/>
      <c r="E46" s="44"/>
      <c r="F46" s="44"/>
      <c r="G46" s="44"/>
      <c r="H46" s="44"/>
      <c r="I46" s="44"/>
    </row>
    <row r="47" spans="1:9" x14ac:dyDescent="0.35">
      <c r="A47" s="44"/>
      <c r="B47" s="44"/>
      <c r="C47" s="44"/>
      <c r="D47" s="49"/>
      <c r="E47" s="44"/>
      <c r="F47" s="44"/>
      <c r="G47" s="44"/>
      <c r="H47" s="44"/>
      <c r="I47" s="44"/>
    </row>
    <row r="48" spans="1:9" x14ac:dyDescent="0.35">
      <c r="A48" s="44"/>
      <c r="B48" s="44"/>
      <c r="C48" s="44"/>
      <c r="D48" s="49"/>
      <c r="E48" s="44"/>
      <c r="F48" s="44"/>
      <c r="G48" s="44"/>
      <c r="H48" s="44"/>
      <c r="I48" s="44"/>
    </row>
    <row r="49" spans="1:9" x14ac:dyDescent="0.35">
      <c r="A49" s="44"/>
      <c r="B49" s="44"/>
      <c r="C49" s="44"/>
      <c r="D49" s="49"/>
      <c r="E49" s="44"/>
      <c r="F49" s="44"/>
      <c r="G49" s="44"/>
      <c r="H49" s="57"/>
      <c r="I49" s="57"/>
    </row>
    <row r="50" spans="1:9" x14ac:dyDescent="0.35">
      <c r="A50" s="44"/>
      <c r="B50" s="44"/>
      <c r="C50" s="44"/>
      <c r="D50" s="49"/>
      <c r="E50" s="44"/>
      <c r="F50" s="44"/>
      <c r="G50" s="44"/>
      <c r="H50" s="44"/>
      <c r="I50" s="44"/>
    </row>
    <row r="51" spans="1:9" x14ac:dyDescent="0.35">
      <c r="A51" s="44"/>
      <c r="B51" s="44"/>
      <c r="C51" s="44"/>
      <c r="D51" s="49"/>
      <c r="E51" s="44"/>
      <c r="F51" s="44"/>
      <c r="G51" s="44"/>
      <c r="H51" s="44"/>
      <c r="I51" s="44"/>
    </row>
    <row r="52" spans="1:9" x14ac:dyDescent="0.35">
      <c r="A52" s="44"/>
      <c r="B52" s="44"/>
      <c r="C52" s="44"/>
      <c r="D52" s="49"/>
      <c r="E52" s="44"/>
      <c r="F52" s="44"/>
      <c r="G52" s="44"/>
      <c r="H52" s="44"/>
      <c r="I52" s="44"/>
    </row>
    <row r="53" spans="1:9" ht="15.5" customHeight="1" x14ac:dyDescent="0.35">
      <c r="A53" s="44"/>
      <c r="B53" s="44"/>
      <c r="C53" s="44"/>
      <c r="D53" s="49"/>
      <c r="E53" s="44"/>
      <c r="F53" s="44"/>
      <c r="G53" s="44"/>
      <c r="H53" s="44"/>
      <c r="I53" s="44"/>
    </row>
    <row r="54" spans="1:9" ht="15.5" customHeight="1" x14ac:dyDescent="0.35">
      <c r="A54" s="44"/>
      <c r="B54" s="44"/>
      <c r="C54" s="44"/>
      <c r="D54" s="49"/>
      <c r="E54" s="44"/>
      <c r="F54" s="44"/>
      <c r="G54" s="44"/>
      <c r="H54" s="44"/>
      <c r="I54" s="44"/>
    </row>
    <row r="55" spans="1:9" x14ac:dyDescent="0.35">
      <c r="A55" s="44"/>
      <c r="B55" s="44"/>
      <c r="C55" s="44"/>
      <c r="D55" s="49"/>
      <c r="E55" s="44"/>
      <c r="F55" s="44"/>
      <c r="G55" s="44"/>
      <c r="H55" s="44"/>
      <c r="I55" s="44"/>
    </row>
    <row r="56" spans="1:9" ht="16" customHeight="1" x14ac:dyDescent="0.35">
      <c r="A56" s="44"/>
      <c r="B56" s="44"/>
      <c r="C56" s="44"/>
      <c r="D56" s="49"/>
      <c r="E56" s="44"/>
      <c r="F56" s="44"/>
      <c r="G56" s="44"/>
      <c r="H56" s="44"/>
      <c r="I56" s="44"/>
    </row>
    <row r="57" spans="1:9" x14ac:dyDescent="0.35">
      <c r="A57" s="44"/>
      <c r="B57" s="44"/>
      <c r="C57" s="44"/>
      <c r="D57" s="49"/>
      <c r="E57" s="44"/>
      <c r="F57" s="44"/>
      <c r="G57" s="44"/>
      <c r="H57" s="44"/>
      <c r="I57" s="44"/>
    </row>
    <row r="58" spans="1:9" x14ac:dyDescent="0.35">
      <c r="A58" s="44"/>
      <c r="B58" s="44"/>
      <c r="C58" s="44"/>
      <c r="D58" s="49"/>
      <c r="E58" s="44"/>
      <c r="F58" s="44"/>
      <c r="G58" s="44"/>
      <c r="H58" s="44"/>
      <c r="I58" s="44"/>
    </row>
    <row r="59" spans="1:9" x14ac:dyDescent="0.35">
      <c r="A59" s="44"/>
      <c r="B59" s="44"/>
      <c r="C59" s="44"/>
      <c r="D59" s="49"/>
      <c r="E59" s="44"/>
      <c r="F59" s="44"/>
      <c r="G59" s="44"/>
      <c r="H59" s="44"/>
      <c r="I59" s="44"/>
    </row>
    <row r="60" spans="1:9" x14ac:dyDescent="0.35">
      <c r="A60" s="44"/>
      <c r="B60" s="44"/>
      <c r="C60" s="44"/>
      <c r="D60" s="49"/>
      <c r="E60" s="44"/>
      <c r="F60" s="44"/>
      <c r="G60" s="44"/>
      <c r="H60" s="44"/>
      <c r="I60" s="44"/>
    </row>
    <row r="61" spans="1:9" x14ac:dyDescent="0.35">
      <c r="A61" s="44"/>
      <c r="B61" s="44"/>
      <c r="C61" s="44"/>
      <c r="D61" s="49"/>
      <c r="E61" s="44"/>
      <c r="F61" s="44"/>
      <c r="G61" s="44"/>
      <c r="H61" s="44"/>
      <c r="I61" s="44"/>
    </row>
    <row r="62" spans="1:9" x14ac:dyDescent="0.35">
      <c r="A62" s="44"/>
      <c r="B62" s="44"/>
      <c r="C62" s="44"/>
      <c r="D62" s="49"/>
      <c r="E62" s="44"/>
      <c r="F62" s="44"/>
      <c r="G62" s="44"/>
      <c r="H62" s="44"/>
      <c r="I62" s="44"/>
    </row>
    <row r="63" spans="1:9" x14ac:dyDescent="0.35">
      <c r="A63" s="44"/>
      <c r="B63" s="44"/>
      <c r="C63" s="44"/>
      <c r="D63" s="49"/>
      <c r="E63" s="44"/>
      <c r="F63" s="44"/>
      <c r="G63" s="44"/>
      <c r="H63" s="44"/>
      <c r="I63" s="44"/>
    </row>
    <row r="64" spans="1:9" x14ac:dyDescent="0.35">
      <c r="A64" s="44"/>
      <c r="B64" s="44"/>
      <c r="C64" s="44"/>
      <c r="D64" s="49"/>
      <c r="E64" s="44"/>
      <c r="F64" s="44"/>
      <c r="G64" s="44"/>
      <c r="H64" s="44"/>
      <c r="I64" s="44"/>
    </row>
    <row r="65" spans="1:9" x14ac:dyDescent="0.35">
      <c r="A65" s="44"/>
      <c r="B65" s="44"/>
      <c r="C65" s="44"/>
      <c r="D65" s="49"/>
      <c r="E65" s="44"/>
      <c r="F65" s="44"/>
      <c r="G65" s="44"/>
      <c r="H65" s="44"/>
      <c r="I65" s="44"/>
    </row>
    <row r="66" spans="1:9" x14ac:dyDescent="0.35">
      <c r="A66" s="44"/>
      <c r="B66" s="44"/>
      <c r="C66" s="44"/>
      <c r="D66" s="49"/>
      <c r="E66" s="44"/>
      <c r="F66" s="44"/>
      <c r="G66" s="44"/>
      <c r="H66" s="44"/>
      <c r="I66" s="44"/>
    </row>
    <row r="67" spans="1:9" x14ac:dyDescent="0.35">
      <c r="A67" s="44"/>
      <c r="B67" s="44"/>
      <c r="C67" s="44"/>
      <c r="D67" s="49"/>
      <c r="E67" s="44"/>
      <c r="F67" s="44"/>
      <c r="G67" s="44"/>
      <c r="H67" s="44"/>
      <c r="I67" s="44"/>
    </row>
    <row r="68" spans="1:9" x14ac:dyDescent="0.35">
      <c r="A68" s="44"/>
      <c r="B68" s="44"/>
      <c r="C68" s="44"/>
      <c r="D68" s="49"/>
      <c r="E68" s="44"/>
      <c r="F68" s="44"/>
      <c r="G68" s="44"/>
      <c r="H68" s="44"/>
      <c r="I68" s="44"/>
    </row>
    <row r="69" spans="1:9" x14ac:dyDescent="0.35">
      <c r="A69" s="44"/>
      <c r="B69" s="44"/>
      <c r="C69" s="44"/>
      <c r="D69" s="49"/>
      <c r="E69" s="44"/>
      <c r="F69" s="44"/>
      <c r="G69" s="44"/>
      <c r="H69" s="44"/>
      <c r="I69" s="44"/>
    </row>
    <row r="70" spans="1:9" x14ac:dyDescent="0.35">
      <c r="A70" s="44"/>
      <c r="B70" s="44"/>
      <c r="C70" s="44"/>
      <c r="D70" s="49"/>
      <c r="E70" s="44"/>
      <c r="F70" s="44"/>
      <c r="G70" s="44"/>
      <c r="H70" s="44"/>
      <c r="I70" s="44"/>
    </row>
    <row r="71" spans="1:9" x14ac:dyDescent="0.35">
      <c r="A71" s="44"/>
      <c r="B71" s="44"/>
      <c r="C71" s="44"/>
      <c r="D71" s="49"/>
      <c r="E71" s="44"/>
      <c r="F71" s="44"/>
      <c r="G71" s="44"/>
      <c r="H71" s="44"/>
      <c r="I71" s="44"/>
    </row>
    <row r="72" spans="1:9" x14ac:dyDescent="0.35">
      <c r="A72" s="44"/>
      <c r="B72" s="44"/>
      <c r="C72" s="44"/>
      <c r="D72" s="49"/>
      <c r="E72" s="44"/>
      <c r="F72" s="44"/>
      <c r="G72" s="44"/>
      <c r="H72" s="44"/>
      <c r="I72" s="44"/>
    </row>
    <row r="73" spans="1:9" x14ac:dyDescent="0.35">
      <c r="A73" s="44"/>
      <c r="B73" s="44"/>
      <c r="C73" s="44"/>
      <c r="D73" s="49"/>
      <c r="E73" s="44"/>
      <c r="F73" s="44"/>
      <c r="G73" s="44"/>
      <c r="H73" s="44"/>
      <c r="I73" s="44"/>
    </row>
    <row r="74" spans="1:9" x14ac:dyDescent="0.35">
      <c r="A74" s="44"/>
      <c r="B74" s="44"/>
      <c r="C74" s="44"/>
      <c r="D74" s="49"/>
      <c r="E74" s="44"/>
      <c r="F74" s="44"/>
      <c r="G74" s="44"/>
      <c r="H74" s="44"/>
      <c r="I74" s="44"/>
    </row>
    <row r="75" spans="1:9" x14ac:dyDescent="0.35">
      <c r="A75" s="44"/>
      <c r="B75" s="44"/>
      <c r="C75" s="44"/>
      <c r="D75" s="49"/>
      <c r="E75" s="44"/>
      <c r="F75" s="44"/>
      <c r="G75" s="44"/>
      <c r="H75" s="44"/>
      <c r="I75" s="44"/>
    </row>
    <row r="76" spans="1:9" x14ac:dyDescent="0.35">
      <c r="A76" s="44"/>
      <c r="B76" s="44"/>
      <c r="C76" s="44"/>
      <c r="D76" s="49"/>
      <c r="E76" s="44"/>
      <c r="F76" s="44"/>
      <c r="G76" s="44"/>
      <c r="H76" s="44"/>
      <c r="I76" s="44"/>
    </row>
    <row r="77" spans="1:9" x14ac:dyDescent="0.35">
      <c r="A77" s="44"/>
      <c r="B77" s="44"/>
      <c r="C77" s="44"/>
      <c r="D77" s="49"/>
      <c r="E77" s="44"/>
      <c r="F77" s="44"/>
      <c r="G77" s="44"/>
      <c r="H77" s="44"/>
      <c r="I77" s="44"/>
    </row>
    <row r="78" spans="1:9" x14ac:dyDescent="0.35">
      <c r="A78" s="44"/>
      <c r="B78" s="44"/>
      <c r="C78" s="44"/>
      <c r="D78" s="49"/>
      <c r="E78" s="44"/>
      <c r="F78" s="44"/>
      <c r="G78" s="44"/>
      <c r="H78" s="44"/>
      <c r="I78" s="44"/>
    </row>
    <row r="79" spans="1:9" x14ac:dyDescent="0.35">
      <c r="A79" s="44"/>
      <c r="B79" s="44"/>
      <c r="C79" s="44"/>
      <c r="D79" s="49"/>
      <c r="E79" s="44"/>
      <c r="F79" s="44"/>
      <c r="G79" s="44"/>
      <c r="H79" s="44"/>
      <c r="I79" s="44"/>
    </row>
    <row r="80" spans="1:9" x14ac:dyDescent="0.35">
      <c r="A80" s="44"/>
      <c r="B80" s="44"/>
      <c r="C80" s="44"/>
      <c r="D80" s="49"/>
      <c r="E80" s="44"/>
      <c r="F80" s="44"/>
      <c r="G80" s="44"/>
      <c r="H80" s="44"/>
      <c r="I80" s="44"/>
    </row>
    <row r="81" spans="1:9" x14ac:dyDescent="0.35">
      <c r="A81" s="44"/>
      <c r="B81" s="44"/>
      <c r="C81" s="44"/>
      <c r="D81" s="49"/>
      <c r="E81" s="44"/>
      <c r="F81" s="44"/>
      <c r="G81" s="44"/>
      <c r="H81" s="44"/>
      <c r="I81" s="44"/>
    </row>
    <row r="82" spans="1:9" x14ac:dyDescent="0.35">
      <c r="A82" s="44"/>
      <c r="B82" s="44"/>
      <c r="C82" s="44"/>
      <c r="D82" s="49"/>
      <c r="E82" s="44"/>
      <c r="F82" s="44"/>
      <c r="G82" s="44"/>
      <c r="H82" s="44"/>
      <c r="I82" s="44"/>
    </row>
    <row r="83" spans="1:9" x14ac:dyDescent="0.35">
      <c r="A83" s="44"/>
      <c r="B83" s="44"/>
      <c r="C83" s="44"/>
      <c r="D83" s="49"/>
      <c r="E83" s="44"/>
      <c r="F83" s="44"/>
      <c r="G83" s="44"/>
      <c r="H83" s="44"/>
      <c r="I83" s="44"/>
    </row>
    <row r="84" spans="1:9" x14ac:dyDescent="0.35">
      <c r="A84" s="44"/>
      <c r="B84" s="44"/>
      <c r="C84" s="44"/>
      <c r="D84" s="49"/>
      <c r="E84" s="44"/>
      <c r="F84" s="44"/>
      <c r="G84" s="44"/>
      <c r="H84" s="44"/>
      <c r="I84" s="44"/>
    </row>
    <row r="85" spans="1:9" x14ac:dyDescent="0.35">
      <c r="A85" s="44"/>
      <c r="B85" s="44"/>
      <c r="C85" s="44"/>
      <c r="D85" s="49"/>
      <c r="E85" s="44"/>
      <c r="F85" s="44"/>
      <c r="G85" s="44"/>
      <c r="H85" s="44"/>
      <c r="I85" s="44"/>
    </row>
    <row r="86" spans="1:9" x14ac:dyDescent="0.35">
      <c r="A86" s="44"/>
      <c r="B86" s="44"/>
      <c r="C86" s="44"/>
      <c r="D86" s="49"/>
      <c r="E86" s="44"/>
      <c r="F86" s="44"/>
      <c r="G86" s="44"/>
      <c r="H86" s="44"/>
      <c r="I86" s="44"/>
    </row>
    <row r="87" spans="1:9" x14ac:dyDescent="0.35">
      <c r="A87" s="44"/>
      <c r="B87" s="44"/>
      <c r="C87" s="44"/>
      <c r="D87" s="49"/>
      <c r="E87" s="44"/>
      <c r="F87" s="44"/>
      <c r="G87" s="44"/>
      <c r="H87" s="44"/>
      <c r="I87" s="44"/>
    </row>
    <row r="88" spans="1:9" x14ac:dyDescent="0.35">
      <c r="A88" s="44"/>
      <c r="B88" s="44"/>
      <c r="C88" s="44"/>
      <c r="D88" s="49"/>
      <c r="E88" s="44"/>
      <c r="F88" s="44"/>
      <c r="G88" s="44"/>
      <c r="H88" s="44"/>
      <c r="I88" s="44"/>
    </row>
    <row r="89" spans="1:9" x14ac:dyDescent="0.35">
      <c r="A89" s="44"/>
      <c r="B89" s="44"/>
      <c r="C89" s="44"/>
      <c r="D89" s="49"/>
      <c r="E89" s="44"/>
      <c r="F89" s="44"/>
      <c r="G89" s="44"/>
      <c r="H89" s="44"/>
      <c r="I89" s="44"/>
    </row>
    <row r="90" spans="1:9" x14ac:dyDescent="0.35">
      <c r="A90" s="44"/>
      <c r="B90" s="44"/>
      <c r="C90" s="44"/>
      <c r="D90" s="49"/>
      <c r="E90" s="44"/>
      <c r="F90" s="44"/>
      <c r="G90" s="44"/>
      <c r="H90" s="44"/>
      <c r="I90" s="44"/>
    </row>
    <row r="91" spans="1:9" x14ac:dyDescent="0.35">
      <c r="A91" s="44"/>
      <c r="B91" s="44"/>
      <c r="C91" s="44"/>
      <c r="D91" s="49"/>
      <c r="E91" s="44"/>
      <c r="F91" s="44"/>
      <c r="G91" s="44"/>
      <c r="H91" s="44"/>
      <c r="I91" s="44"/>
    </row>
    <row r="92" spans="1:9" x14ac:dyDescent="0.35">
      <c r="A92" s="44"/>
      <c r="B92" s="44"/>
      <c r="C92" s="44"/>
      <c r="D92" s="49"/>
      <c r="E92" s="44"/>
      <c r="F92" s="44"/>
      <c r="G92" s="44"/>
      <c r="H92" s="44"/>
      <c r="I92" s="44"/>
    </row>
    <row r="93" spans="1:9" x14ac:dyDescent="0.35">
      <c r="A93" s="44"/>
      <c r="B93" s="44"/>
      <c r="C93" s="44"/>
      <c r="D93" s="49"/>
      <c r="E93" s="44"/>
      <c r="F93" s="44"/>
      <c r="G93" s="44"/>
      <c r="H93" s="44"/>
      <c r="I93" s="44"/>
    </row>
    <row r="94" spans="1:9" x14ac:dyDescent="0.35">
      <c r="A94" s="44"/>
      <c r="B94" s="44"/>
      <c r="C94" s="44"/>
      <c r="D94" s="49"/>
      <c r="E94" s="44"/>
      <c r="F94" s="44"/>
      <c r="G94" s="44"/>
      <c r="H94" s="44"/>
      <c r="I94" s="44"/>
    </row>
    <row r="95" spans="1:9" x14ac:dyDescent="0.35">
      <c r="A95" s="44"/>
      <c r="B95" s="44"/>
      <c r="C95" s="44"/>
      <c r="D95" s="49"/>
      <c r="E95" s="44"/>
      <c r="F95" s="44"/>
      <c r="G95" s="44"/>
      <c r="H95" s="44"/>
      <c r="I95" s="44"/>
    </row>
    <row r="96" spans="1:9" x14ac:dyDescent="0.35">
      <c r="A96" s="44"/>
      <c r="B96" s="44"/>
      <c r="C96" s="44"/>
      <c r="D96" s="49"/>
      <c r="E96" s="44"/>
      <c r="F96" s="44"/>
      <c r="G96" s="44"/>
      <c r="H96" s="44"/>
      <c r="I96" s="44"/>
    </row>
    <row r="97" spans="1:9" x14ac:dyDescent="0.35">
      <c r="A97" s="44"/>
      <c r="B97" s="44"/>
      <c r="C97" s="44"/>
      <c r="D97" s="49"/>
      <c r="E97" s="44"/>
      <c r="F97" s="44"/>
      <c r="G97" s="44"/>
      <c r="H97" s="44"/>
      <c r="I97" s="44"/>
    </row>
    <row r="98" spans="1:9" x14ac:dyDescent="0.35">
      <c r="A98" s="44"/>
      <c r="B98" s="44"/>
      <c r="C98" s="44"/>
      <c r="D98" s="49"/>
      <c r="E98" s="44"/>
      <c r="F98" s="44"/>
      <c r="G98" s="44"/>
      <c r="H98" s="44"/>
      <c r="I98" s="44"/>
    </row>
    <row r="99" spans="1:9" x14ac:dyDescent="0.35">
      <c r="A99" s="44"/>
      <c r="B99" s="44"/>
      <c r="C99" s="44"/>
      <c r="D99" s="49"/>
      <c r="E99" s="44"/>
      <c r="F99" s="44"/>
      <c r="G99" s="44"/>
      <c r="H99" s="44"/>
      <c r="I99" s="44"/>
    </row>
    <row r="100" spans="1:9" x14ac:dyDescent="0.35">
      <c r="A100" s="44"/>
      <c r="B100" s="44"/>
      <c r="C100" s="44"/>
      <c r="D100" s="49"/>
      <c r="E100" s="44"/>
      <c r="F100" s="44"/>
      <c r="G100" s="44"/>
      <c r="H100" s="44"/>
      <c r="I100" s="44"/>
    </row>
    <row r="101" spans="1:9" x14ac:dyDescent="0.35">
      <c r="A101" s="44"/>
      <c r="B101" s="44"/>
      <c r="C101" s="44"/>
      <c r="D101" s="49"/>
      <c r="E101" s="44"/>
      <c r="F101" s="44"/>
      <c r="G101" s="44"/>
      <c r="H101" s="44"/>
      <c r="I101" s="44"/>
    </row>
    <row r="102" spans="1:9" x14ac:dyDescent="0.35">
      <c r="A102" s="44"/>
      <c r="B102" s="44"/>
      <c r="C102" s="44"/>
      <c r="D102" s="49"/>
      <c r="E102" s="44"/>
      <c r="F102" s="44"/>
      <c r="G102" s="44"/>
      <c r="H102" s="44"/>
      <c r="I102" s="44"/>
    </row>
    <row r="103" spans="1:9" x14ac:dyDescent="0.35">
      <c r="A103" s="44"/>
      <c r="B103" s="44"/>
      <c r="C103" s="44"/>
      <c r="D103" s="49"/>
      <c r="E103" s="44"/>
      <c r="F103" s="44"/>
      <c r="G103" s="44"/>
      <c r="H103" s="44"/>
      <c r="I103" s="44"/>
    </row>
    <row r="104" spans="1:9" x14ac:dyDescent="0.35">
      <c r="A104" s="44"/>
      <c r="B104" s="44"/>
      <c r="C104" s="44"/>
      <c r="D104" s="49"/>
      <c r="E104" s="44"/>
      <c r="F104" s="44"/>
      <c r="G104" s="44"/>
      <c r="H104" s="44"/>
      <c r="I104" s="44"/>
    </row>
    <row r="105" spans="1:9" x14ac:dyDescent="0.35">
      <c r="A105" s="44"/>
      <c r="B105" s="44"/>
      <c r="C105" s="44"/>
      <c r="D105" s="49"/>
      <c r="E105" s="44"/>
      <c r="F105" s="44"/>
      <c r="G105" s="44"/>
      <c r="H105" s="44"/>
      <c r="I105" s="44"/>
    </row>
    <row r="106" spans="1:9" x14ac:dyDescent="0.35">
      <c r="A106" s="44"/>
      <c r="B106" s="44"/>
      <c r="C106" s="44"/>
      <c r="D106" s="49"/>
      <c r="E106" s="44"/>
      <c r="F106" s="44"/>
      <c r="G106" s="44"/>
      <c r="H106" s="44"/>
      <c r="I106" s="44"/>
    </row>
    <row r="107" spans="1:9" x14ac:dyDescent="0.35">
      <c r="A107" s="44"/>
      <c r="B107" s="44"/>
      <c r="C107" s="44"/>
      <c r="D107" s="49"/>
      <c r="E107" s="44"/>
      <c r="F107" s="44"/>
      <c r="G107" s="44"/>
      <c r="H107" s="44"/>
      <c r="I107" s="44"/>
    </row>
    <row r="108" spans="1:9" x14ac:dyDescent="0.35">
      <c r="A108" s="44"/>
      <c r="B108" s="44"/>
      <c r="C108" s="44"/>
      <c r="D108" s="49"/>
      <c r="E108" s="44"/>
      <c r="F108" s="44"/>
      <c r="G108" s="44"/>
      <c r="H108" s="44"/>
      <c r="I108" s="44"/>
    </row>
    <row r="109" spans="1:9" x14ac:dyDescent="0.35">
      <c r="A109" s="44"/>
      <c r="B109" s="44"/>
      <c r="C109" s="44"/>
      <c r="D109" s="49"/>
      <c r="E109" s="44"/>
      <c r="F109" s="44"/>
      <c r="G109" s="44"/>
      <c r="H109" s="44"/>
      <c r="I109" s="44"/>
    </row>
    <row r="110" spans="1:9" x14ac:dyDescent="0.35">
      <c r="A110" s="44"/>
      <c r="B110" s="44"/>
      <c r="C110" s="44"/>
      <c r="D110" s="49"/>
      <c r="E110" s="44"/>
      <c r="F110" s="44"/>
      <c r="G110" s="44"/>
      <c r="H110" s="44"/>
      <c r="I110" s="44"/>
    </row>
    <row r="111" spans="1:9" x14ac:dyDescent="0.35">
      <c r="A111" s="44"/>
      <c r="B111" s="44"/>
      <c r="C111" s="44"/>
      <c r="D111" s="49"/>
      <c r="E111" s="44"/>
      <c r="F111" s="44"/>
      <c r="G111" s="44"/>
      <c r="H111" s="44"/>
      <c r="I111" s="44"/>
    </row>
    <row r="112" spans="1:9" x14ac:dyDescent="0.35">
      <c r="A112" s="44"/>
      <c r="B112" s="44"/>
      <c r="C112" s="44"/>
      <c r="D112" s="49"/>
      <c r="E112" s="44"/>
      <c r="F112" s="44"/>
      <c r="G112" s="44"/>
      <c r="H112" s="44"/>
      <c r="I112" s="44"/>
    </row>
    <row r="113" spans="1:9" x14ac:dyDescent="0.35">
      <c r="A113" s="44"/>
      <c r="B113" s="44"/>
      <c r="C113" s="44"/>
      <c r="D113" s="49"/>
      <c r="E113" s="44"/>
      <c r="F113" s="44"/>
      <c r="G113" s="44"/>
      <c r="H113" s="44"/>
      <c r="I113" s="44"/>
    </row>
    <row r="114" spans="1:9" x14ac:dyDescent="0.35">
      <c r="A114" s="44"/>
      <c r="B114" s="44"/>
      <c r="C114" s="44"/>
      <c r="D114" s="49"/>
      <c r="E114" s="44"/>
      <c r="F114" s="44"/>
      <c r="G114" s="44"/>
      <c r="H114" s="44"/>
      <c r="I114" s="44"/>
    </row>
    <row r="115" spans="1:9" x14ac:dyDescent="0.35">
      <c r="A115" s="44"/>
      <c r="B115" s="44"/>
      <c r="C115" s="44"/>
      <c r="D115" s="49"/>
      <c r="E115" s="44"/>
      <c r="F115" s="44"/>
      <c r="G115" s="44"/>
      <c r="H115" s="44"/>
      <c r="I115" s="44"/>
    </row>
    <row r="116" spans="1:9" x14ac:dyDescent="0.35">
      <c r="A116" s="44"/>
      <c r="B116" s="44"/>
      <c r="C116" s="44"/>
      <c r="D116" s="49"/>
      <c r="E116" s="44"/>
      <c r="F116" s="44"/>
      <c r="G116" s="44"/>
      <c r="H116" s="44"/>
      <c r="I116" s="44"/>
    </row>
    <row r="117" spans="1:9" x14ac:dyDescent="0.35">
      <c r="A117" s="44"/>
      <c r="B117" s="44"/>
      <c r="C117" s="44"/>
      <c r="D117" s="49"/>
      <c r="E117" s="44"/>
      <c r="F117" s="44"/>
      <c r="G117" s="44"/>
      <c r="H117" s="44"/>
      <c r="I117" s="44"/>
    </row>
    <row r="118" spans="1:9" x14ac:dyDescent="0.35">
      <c r="A118" s="44"/>
      <c r="B118" s="44"/>
      <c r="C118" s="44"/>
      <c r="D118" s="49"/>
      <c r="E118" s="44"/>
      <c r="F118" s="44"/>
      <c r="G118" s="44"/>
      <c r="H118" s="44"/>
      <c r="I118" s="44"/>
    </row>
    <row r="119" spans="1:9" x14ac:dyDescent="0.35">
      <c r="A119" s="44"/>
      <c r="B119" s="44"/>
      <c r="C119" s="44"/>
      <c r="D119" s="49"/>
      <c r="E119" s="44"/>
      <c r="F119" s="44"/>
      <c r="G119" s="44"/>
      <c r="H119" s="44"/>
      <c r="I119" s="44"/>
    </row>
    <row r="120" spans="1:9" x14ac:dyDescent="0.35">
      <c r="A120" s="44"/>
      <c r="B120" s="44"/>
      <c r="C120" s="44"/>
      <c r="D120" s="49"/>
      <c r="E120" s="44"/>
      <c r="F120" s="44"/>
      <c r="G120" s="44"/>
      <c r="H120" s="44"/>
      <c r="I120" s="44"/>
    </row>
    <row r="121" spans="1:9" x14ac:dyDescent="0.35">
      <c r="A121" s="44"/>
      <c r="B121" s="44"/>
      <c r="C121" s="44"/>
      <c r="D121" s="49"/>
      <c r="E121" s="44"/>
      <c r="F121" s="44"/>
      <c r="G121" s="44"/>
      <c r="H121" s="44"/>
      <c r="I121" s="44"/>
    </row>
    <row r="122" spans="1:9" x14ac:dyDescent="0.35">
      <c r="A122" s="44"/>
      <c r="B122" s="44"/>
      <c r="C122" s="44"/>
      <c r="D122" s="49"/>
      <c r="E122" s="44"/>
      <c r="F122" s="44"/>
      <c r="G122" s="44"/>
      <c r="H122" s="44"/>
      <c r="I122" s="44"/>
    </row>
    <row r="123" spans="1:9" x14ac:dyDescent="0.35">
      <c r="A123" s="44"/>
      <c r="B123" s="44"/>
      <c r="C123" s="44"/>
      <c r="D123" s="49"/>
      <c r="E123" s="44"/>
      <c r="F123" s="44"/>
      <c r="G123" s="44"/>
      <c r="H123" s="44"/>
      <c r="I123" s="44"/>
    </row>
    <row r="124" spans="1:9" x14ac:dyDescent="0.35">
      <c r="A124" s="44"/>
      <c r="B124" s="44"/>
      <c r="C124" s="44"/>
      <c r="D124" s="49"/>
      <c r="E124" s="44"/>
      <c r="F124" s="44"/>
      <c r="G124" s="44"/>
      <c r="H124" s="44"/>
      <c r="I124" s="44"/>
    </row>
    <row r="125" spans="1:9" x14ac:dyDescent="0.35">
      <c r="A125" s="44"/>
      <c r="B125" s="44"/>
      <c r="C125" s="44"/>
      <c r="D125" s="49"/>
      <c r="E125" s="44"/>
      <c r="F125" s="44"/>
      <c r="G125" s="44"/>
      <c r="H125" s="44"/>
      <c r="I125" s="44"/>
    </row>
    <row r="126" spans="1:9" x14ac:dyDescent="0.35">
      <c r="A126" s="44"/>
      <c r="B126" s="44"/>
      <c r="C126" s="44"/>
      <c r="D126" s="49"/>
      <c r="E126" s="44"/>
      <c r="F126" s="44"/>
      <c r="G126" s="44"/>
      <c r="H126" s="44"/>
      <c r="I126" s="44"/>
    </row>
    <row r="127" spans="1:9" x14ac:dyDescent="0.35">
      <c r="A127" s="44"/>
      <c r="B127" s="44"/>
      <c r="C127" s="44"/>
      <c r="D127" s="49"/>
      <c r="E127" s="44"/>
      <c r="F127" s="44"/>
      <c r="G127" s="44"/>
      <c r="H127" s="44"/>
      <c r="I127" s="44"/>
    </row>
    <row r="128" spans="1:9" x14ac:dyDescent="0.35">
      <c r="A128" s="44"/>
      <c r="B128" s="44"/>
      <c r="C128" s="44"/>
      <c r="D128" s="49"/>
      <c r="E128" s="44"/>
      <c r="F128" s="44"/>
      <c r="G128" s="44"/>
      <c r="H128" s="44"/>
      <c r="I128" s="44"/>
    </row>
    <row r="129" spans="1:9" x14ac:dyDescent="0.35">
      <c r="A129" s="44"/>
      <c r="B129" s="44"/>
      <c r="C129" s="44"/>
      <c r="D129" s="49"/>
      <c r="E129" s="44"/>
      <c r="F129" s="44"/>
      <c r="G129" s="44"/>
      <c r="H129" s="44"/>
      <c r="I129" s="44"/>
    </row>
    <row r="130" spans="1:9" x14ac:dyDescent="0.35">
      <c r="A130" s="44"/>
      <c r="B130" s="44"/>
      <c r="C130" s="44"/>
      <c r="D130" s="49"/>
      <c r="E130" s="44"/>
      <c r="F130" s="44"/>
      <c r="G130" s="44"/>
      <c r="H130" s="44"/>
      <c r="I130" s="44"/>
    </row>
    <row r="131" spans="1:9" x14ac:dyDescent="0.35">
      <c r="A131" s="44"/>
      <c r="B131" s="44"/>
      <c r="C131" s="44"/>
      <c r="D131" s="49"/>
      <c r="E131" s="44"/>
      <c r="F131" s="44"/>
      <c r="G131" s="44"/>
      <c r="H131" s="44"/>
      <c r="I131" s="44"/>
    </row>
    <row r="132" spans="1:9" x14ac:dyDescent="0.35">
      <c r="A132" s="44"/>
      <c r="B132" s="44"/>
      <c r="C132" s="44"/>
      <c r="D132" s="49"/>
      <c r="E132" s="44"/>
      <c r="F132" s="44"/>
      <c r="G132" s="44"/>
      <c r="H132" s="44"/>
      <c r="I132" s="44"/>
    </row>
    <row r="133" spans="1:9" x14ac:dyDescent="0.35">
      <c r="A133" s="44"/>
      <c r="B133" s="44"/>
      <c r="C133" s="44"/>
      <c r="D133" s="49"/>
      <c r="E133" s="44"/>
      <c r="F133" s="44"/>
      <c r="G133" s="44"/>
      <c r="H133" s="44"/>
      <c r="I133" s="44"/>
    </row>
    <row r="134" spans="1:9" x14ac:dyDescent="0.35">
      <c r="A134" s="44"/>
      <c r="B134" s="44"/>
      <c r="C134" s="44"/>
      <c r="D134" s="49"/>
      <c r="E134" s="44"/>
      <c r="F134" s="44"/>
      <c r="G134" s="44"/>
      <c r="H134" s="44"/>
      <c r="I134" s="44"/>
    </row>
    <row r="135" spans="1:9" x14ac:dyDescent="0.35">
      <c r="A135" s="44"/>
      <c r="B135" s="44"/>
      <c r="C135" s="44"/>
      <c r="D135" s="49"/>
      <c r="E135" s="44"/>
      <c r="F135" s="44"/>
      <c r="G135" s="44"/>
      <c r="H135" s="44"/>
      <c r="I135" s="44"/>
    </row>
    <row r="136" spans="1:9" x14ac:dyDescent="0.35">
      <c r="A136" s="44"/>
      <c r="B136" s="44"/>
      <c r="C136" s="44"/>
      <c r="D136" s="49"/>
      <c r="E136" s="44"/>
      <c r="F136" s="44"/>
      <c r="G136" s="44"/>
      <c r="H136" s="44"/>
      <c r="I136" s="44"/>
    </row>
    <row r="137" spans="1:9" x14ac:dyDescent="0.35">
      <c r="A137" s="44"/>
      <c r="B137" s="44"/>
      <c r="C137" s="44"/>
      <c r="D137" s="49"/>
      <c r="E137" s="44"/>
      <c r="F137" s="44"/>
      <c r="G137" s="44"/>
      <c r="H137" s="44"/>
      <c r="I137" s="44"/>
    </row>
    <row r="138" spans="1:9" x14ac:dyDescent="0.35">
      <c r="A138" s="44"/>
      <c r="B138" s="44"/>
      <c r="C138" s="44"/>
      <c r="D138" s="49"/>
      <c r="E138" s="44"/>
      <c r="F138" s="44"/>
      <c r="G138" s="44"/>
      <c r="H138" s="44"/>
      <c r="I138" s="44"/>
    </row>
    <row r="139" spans="1:9" x14ac:dyDescent="0.35">
      <c r="A139" s="44"/>
      <c r="B139" s="44"/>
      <c r="C139" s="44"/>
      <c r="D139" s="49"/>
      <c r="E139" s="44"/>
      <c r="F139" s="44"/>
      <c r="G139" s="44"/>
      <c r="H139" s="44"/>
      <c r="I139" s="44"/>
    </row>
    <row r="140" spans="1:9" x14ac:dyDescent="0.35">
      <c r="A140" s="44"/>
      <c r="B140" s="44"/>
      <c r="C140" s="44"/>
      <c r="D140" s="49"/>
      <c r="E140" s="44"/>
      <c r="F140" s="44"/>
      <c r="G140" s="44"/>
      <c r="H140" s="44"/>
      <c r="I140" s="44"/>
    </row>
    <row r="141" spans="1:9" x14ac:dyDescent="0.35">
      <c r="A141" s="44"/>
      <c r="B141" s="44"/>
      <c r="C141" s="44"/>
      <c r="D141" s="49"/>
      <c r="E141" s="44"/>
      <c r="F141" s="44"/>
      <c r="G141" s="44"/>
      <c r="H141" s="44"/>
      <c r="I141" s="44"/>
    </row>
    <row r="142" spans="1:9" x14ac:dyDescent="0.35">
      <c r="A142" s="44"/>
      <c r="B142" s="44"/>
      <c r="C142" s="44"/>
      <c r="D142" s="49"/>
      <c r="E142" s="44"/>
      <c r="F142" s="44"/>
      <c r="G142" s="44"/>
      <c r="H142" s="44"/>
      <c r="I142" s="44"/>
    </row>
    <row r="143" spans="1:9" x14ac:dyDescent="0.35">
      <c r="A143" s="44"/>
      <c r="B143" s="44"/>
      <c r="C143" s="44"/>
      <c r="D143" s="49"/>
      <c r="E143" s="44"/>
      <c r="F143" s="44"/>
      <c r="G143" s="44"/>
      <c r="H143" s="44"/>
      <c r="I143" s="44"/>
    </row>
    <row r="144" spans="1:9" x14ac:dyDescent="0.35">
      <c r="A144" s="44"/>
      <c r="B144" s="44"/>
      <c r="C144" s="44"/>
      <c r="D144" s="49"/>
      <c r="E144" s="44"/>
      <c r="F144" s="44"/>
      <c r="G144" s="44"/>
      <c r="H144" s="44"/>
      <c r="I144" s="44"/>
    </row>
    <row r="145" spans="1:9" x14ac:dyDescent="0.35">
      <c r="A145" s="44"/>
      <c r="B145" s="44"/>
      <c r="C145" s="44"/>
      <c r="D145" s="49"/>
      <c r="E145" s="44"/>
      <c r="F145" s="44"/>
      <c r="G145" s="44"/>
      <c r="H145" s="44"/>
      <c r="I145" s="44"/>
    </row>
    <row r="146" spans="1:9" x14ac:dyDescent="0.35">
      <c r="A146" s="44"/>
      <c r="B146" s="44"/>
      <c r="C146" s="44"/>
      <c r="D146" s="49"/>
      <c r="E146" s="44"/>
      <c r="F146" s="44"/>
      <c r="G146" s="44"/>
      <c r="H146" s="44"/>
      <c r="I146" s="44"/>
    </row>
    <row r="147" spans="1:9" x14ac:dyDescent="0.35">
      <c r="A147" s="44"/>
      <c r="B147" s="44"/>
      <c r="C147" s="44"/>
      <c r="D147" s="49"/>
      <c r="E147" s="44"/>
      <c r="F147" s="44"/>
      <c r="G147" s="44"/>
      <c r="H147" s="44"/>
      <c r="I147" s="44"/>
    </row>
    <row r="148" spans="1:9" x14ac:dyDescent="0.35">
      <c r="A148" s="44"/>
      <c r="B148" s="44"/>
      <c r="C148" s="44"/>
      <c r="D148" s="49"/>
      <c r="E148" s="44"/>
      <c r="F148" s="44"/>
      <c r="G148" s="44"/>
      <c r="H148" s="44"/>
      <c r="I148" s="44"/>
    </row>
    <row r="149" spans="1:9" x14ac:dyDescent="0.35">
      <c r="A149" s="44"/>
      <c r="B149" s="44"/>
      <c r="C149" s="44"/>
      <c r="D149" s="49"/>
      <c r="E149" s="44"/>
      <c r="F149" s="44"/>
      <c r="G149" s="44"/>
      <c r="H149" s="44"/>
      <c r="I149" s="44"/>
    </row>
    <row r="150" spans="1:9" x14ac:dyDescent="0.35">
      <c r="A150" s="44"/>
      <c r="B150" s="44"/>
      <c r="C150" s="44"/>
      <c r="D150" s="49"/>
      <c r="E150" s="44"/>
      <c r="F150" s="44"/>
      <c r="G150" s="44"/>
      <c r="H150" s="44"/>
      <c r="I150" s="44"/>
    </row>
    <row r="151" spans="1:9" x14ac:dyDescent="0.35">
      <c r="A151" s="44"/>
      <c r="B151" s="44"/>
      <c r="C151" s="44"/>
      <c r="D151" s="49"/>
      <c r="E151" s="44"/>
      <c r="F151" s="44"/>
      <c r="G151" s="44"/>
      <c r="H151" s="44"/>
      <c r="I151" s="44"/>
    </row>
    <row r="152" spans="1:9" x14ac:dyDescent="0.35">
      <c r="A152" s="44"/>
      <c r="B152" s="44"/>
      <c r="C152" s="44"/>
      <c r="D152" s="49"/>
      <c r="E152" s="44"/>
      <c r="F152" s="44"/>
      <c r="G152" s="44"/>
      <c r="H152" s="44"/>
      <c r="I152" s="44"/>
    </row>
    <row r="153" spans="1:9" x14ac:dyDescent="0.35">
      <c r="A153" s="44"/>
      <c r="B153" s="44"/>
      <c r="C153" s="44"/>
      <c r="D153" s="49"/>
      <c r="E153" s="44"/>
      <c r="F153" s="44"/>
      <c r="G153" s="44"/>
      <c r="H153" s="44"/>
      <c r="I153" s="44"/>
    </row>
    <row r="154" spans="1:9" x14ac:dyDescent="0.35">
      <c r="A154" s="44"/>
      <c r="B154" s="44"/>
      <c r="C154" s="44"/>
      <c r="D154" s="49"/>
      <c r="E154" s="44"/>
      <c r="F154" s="44"/>
      <c r="G154" s="44"/>
      <c r="H154" s="44"/>
      <c r="I154" s="44"/>
    </row>
    <row r="155" spans="1:9" x14ac:dyDescent="0.35">
      <c r="A155" s="44"/>
      <c r="B155" s="44"/>
      <c r="C155" s="44"/>
      <c r="D155" s="49"/>
      <c r="E155" s="44"/>
      <c r="F155" s="44"/>
      <c r="G155" s="44"/>
      <c r="H155" s="44"/>
      <c r="I155" s="44"/>
    </row>
    <row r="156" spans="1:9" x14ac:dyDescent="0.35">
      <c r="A156" s="44"/>
      <c r="B156" s="44"/>
      <c r="C156" s="44"/>
      <c r="D156" s="49"/>
      <c r="E156" s="44"/>
      <c r="F156" s="44"/>
      <c r="G156" s="44"/>
      <c r="H156" s="44"/>
      <c r="I156" s="44"/>
    </row>
    <row r="157" spans="1:9" x14ac:dyDescent="0.35">
      <c r="A157" s="44"/>
      <c r="B157" s="44"/>
      <c r="C157" s="44"/>
      <c r="D157" s="49"/>
      <c r="E157" s="44"/>
      <c r="F157" s="44"/>
      <c r="G157" s="44"/>
      <c r="H157" s="44"/>
      <c r="I157" s="44"/>
    </row>
    <row r="158" spans="1:9" x14ac:dyDescent="0.35">
      <c r="A158" s="44"/>
      <c r="B158" s="44"/>
      <c r="C158" s="44"/>
      <c r="D158" s="49"/>
      <c r="E158" s="44"/>
      <c r="F158" s="44"/>
      <c r="G158" s="44"/>
      <c r="H158" s="44"/>
      <c r="I158" s="44"/>
    </row>
    <row r="159" spans="1:9" x14ac:dyDescent="0.35">
      <c r="A159" s="44"/>
      <c r="B159" s="44"/>
      <c r="C159" s="44"/>
      <c r="D159" s="49"/>
      <c r="E159" s="44"/>
      <c r="F159" s="44"/>
      <c r="G159" s="44"/>
      <c r="H159" s="44"/>
      <c r="I159" s="44"/>
    </row>
    <row r="160" spans="1:9" x14ac:dyDescent="0.35">
      <c r="A160" s="44"/>
      <c r="B160" s="44"/>
      <c r="C160" s="44"/>
      <c r="D160" s="49"/>
      <c r="E160" s="44"/>
      <c r="F160" s="44"/>
      <c r="G160" s="44"/>
      <c r="H160" s="44"/>
      <c r="I160" s="44"/>
    </row>
    <row r="161" spans="1:9" x14ac:dyDescent="0.35">
      <c r="A161" s="44"/>
      <c r="B161" s="44"/>
      <c r="C161" s="44"/>
      <c r="D161" s="49"/>
      <c r="E161" s="44"/>
      <c r="F161" s="44"/>
      <c r="G161" s="44"/>
      <c r="H161" s="44"/>
      <c r="I161" s="44"/>
    </row>
    <row r="162" spans="1:9" x14ac:dyDescent="0.35">
      <c r="A162" s="44"/>
      <c r="B162" s="44"/>
      <c r="C162" s="44"/>
      <c r="D162" s="49"/>
      <c r="E162" s="44"/>
      <c r="F162" s="44"/>
      <c r="G162" s="44"/>
      <c r="H162" s="44"/>
      <c r="I162" s="44"/>
    </row>
    <row r="163" spans="1:9" x14ac:dyDescent="0.35">
      <c r="A163" s="44"/>
      <c r="B163" s="44"/>
      <c r="C163" s="44"/>
      <c r="D163" s="49"/>
      <c r="E163" s="44"/>
      <c r="F163" s="44"/>
      <c r="G163" s="44"/>
      <c r="H163" s="44"/>
      <c r="I163" s="44"/>
    </row>
    <row r="164" spans="1:9" x14ac:dyDescent="0.35">
      <c r="A164" s="44"/>
      <c r="B164" s="44"/>
      <c r="C164" s="44"/>
      <c r="D164" s="49"/>
      <c r="E164" s="44"/>
      <c r="F164" s="44"/>
      <c r="G164" s="44"/>
      <c r="H164" s="44"/>
      <c r="I164" s="44"/>
    </row>
    <row r="165" spans="1:9" x14ac:dyDescent="0.35">
      <c r="A165" s="44"/>
      <c r="B165" s="44"/>
      <c r="C165" s="44"/>
      <c r="D165" s="49"/>
      <c r="E165" s="44"/>
      <c r="F165" s="44"/>
      <c r="G165" s="44"/>
      <c r="H165" s="44"/>
      <c r="I165" s="44"/>
    </row>
    <row r="166" spans="1:9" x14ac:dyDescent="0.35">
      <c r="A166" s="44"/>
      <c r="B166" s="44"/>
      <c r="C166" s="44"/>
      <c r="D166" s="49"/>
      <c r="E166" s="44"/>
      <c r="F166" s="44"/>
      <c r="G166" s="44"/>
      <c r="H166" s="44"/>
      <c r="I166" s="44"/>
    </row>
    <row r="167" spans="1:9" x14ac:dyDescent="0.35">
      <c r="A167" s="44"/>
      <c r="B167" s="44"/>
      <c r="C167" s="44"/>
      <c r="D167" s="49"/>
      <c r="E167" s="44"/>
      <c r="F167" s="44"/>
      <c r="G167" s="44"/>
      <c r="H167" s="44"/>
      <c r="I167" s="44"/>
    </row>
    <row r="168" spans="1:9" x14ac:dyDescent="0.35">
      <c r="A168" s="44"/>
      <c r="B168" s="44"/>
      <c r="C168" s="44"/>
      <c r="D168" s="49"/>
      <c r="E168" s="44"/>
      <c r="F168" s="44"/>
      <c r="G168" s="44"/>
      <c r="H168" s="44"/>
      <c r="I168" s="44"/>
    </row>
    <row r="169" spans="1:9" x14ac:dyDescent="0.35">
      <c r="A169" s="44"/>
      <c r="B169" s="44"/>
      <c r="C169" s="44"/>
      <c r="D169" s="49"/>
      <c r="E169" s="44"/>
      <c r="F169" s="44"/>
      <c r="G169" s="44"/>
      <c r="H169" s="44"/>
      <c r="I169" s="44"/>
    </row>
    <row r="170" spans="1:9" x14ac:dyDescent="0.35">
      <c r="A170" s="44"/>
      <c r="B170" s="44"/>
      <c r="C170" s="44"/>
      <c r="D170" s="49"/>
      <c r="E170" s="44"/>
      <c r="F170" s="44"/>
      <c r="G170" s="44"/>
      <c r="H170" s="44"/>
      <c r="I170" s="44"/>
    </row>
  </sheetData>
  <sheetProtection algorithmName="SHA-512" hashValue="4YbxJRW7GXHBe4gpwtyba8zoNbnq5eWniqYrkiD/Kk4W2+JLkII60veAfFEjR0XtkVlNWWZTZSPmCPZ5V/Yw6g==" saltValue="+fusDzbl2wWAiKEWCvNAcw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E_P_B</vt:lpstr>
      <vt:lpstr>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President</dc:creator>
  <cp:lastModifiedBy>Astre</cp:lastModifiedBy>
  <cp:lastPrinted>2025-02-02T13:57:03Z</cp:lastPrinted>
  <dcterms:created xsi:type="dcterms:W3CDTF">2017-08-22T08:44:56Z</dcterms:created>
  <dcterms:modified xsi:type="dcterms:W3CDTF">2025-02-19T03:46:29Z</dcterms:modified>
</cp:coreProperties>
</file>